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000" activeTab="0"/>
  </bookViews>
  <sheets>
    <sheet name="Tartalom" sheetId="1" r:id="rId1"/>
    <sheet name="9R1" sheetId="2" r:id="rId2"/>
    <sheet name="1_corp_loan" sheetId="3" r:id="rId3"/>
    <sheet name="2_mortg_float" sheetId="4" r:id="rId4"/>
    <sheet name="3_mortg_prep" sheetId="5" r:id="rId5"/>
    <sheet name="4_retail_nmd" sheetId="6" r:id="rId6"/>
    <sheet name="5_IRS" sheetId="7" r:id="rId7"/>
    <sheet name="6_CCIRS" sheetId="8" r:id="rId8"/>
  </sheets>
  <definedNames/>
  <calcPr fullCalcOnLoad="1"/>
</workbook>
</file>

<file path=xl/sharedStrings.xml><?xml version="1.0" encoding="utf-8"?>
<sst xmlns="http://schemas.openxmlformats.org/spreadsheetml/2006/main" count="720" uniqueCount="139">
  <si>
    <t>9R1999999</t>
  </si>
  <si>
    <t>9R1000001</t>
  </si>
  <si>
    <t>z</t>
  </si>
  <si>
    <t>h</t>
  </si>
  <si>
    <t>g</t>
  </si>
  <si>
    <t>f</t>
  </si>
  <si>
    <t>e</t>
  </si>
  <si>
    <t>d</t>
  </si>
  <si>
    <t>c</t>
  </si>
  <si>
    <t>b</t>
  </si>
  <si>
    <t>a</t>
  </si>
  <si>
    <t>Mód</t>
  </si>
  <si>
    <t>Modellezett termékek eredeti (szerződéses) pénzáramlásának (átárazódásának) összege</t>
  </si>
  <si>
    <t>Szerződés szerinti pénzáramlás (átárazódás) összege</t>
  </si>
  <si>
    <t>Modellezett pénzáramlás (átárazódás) összege</t>
  </si>
  <si>
    <t>Átárazódás időkategóriája</t>
  </si>
  <si>
    <t>Pénzáramlás (átárazódás) típusa</t>
  </si>
  <si>
    <t>Kamatozás típusa</t>
  </si>
  <si>
    <t>Termékkód</t>
  </si>
  <si>
    <t>Devizanem</t>
  </si>
  <si>
    <t>Megnevezés</t>
  </si>
  <si>
    <t>Sorkód</t>
  </si>
  <si>
    <t>Nagyságrend: forint</t>
  </si>
  <si>
    <t>9R1</t>
  </si>
  <si>
    <t>Pénz - küszöb alatt</t>
  </si>
  <si>
    <t>Pénz - nincs adat</t>
  </si>
  <si>
    <t>Pénz</t>
  </si>
  <si>
    <t>Dátum</t>
  </si>
  <si>
    <t>Felsorolt</t>
  </si>
  <si>
    <t>Karakteres</t>
  </si>
  <si>
    <t>Numerikus - küszöb alatti</t>
  </si>
  <si>
    <t>Numerikus - nincs adat</t>
  </si>
  <si>
    <t>Numerikus</t>
  </si>
  <si>
    <t>Tilos</t>
  </si>
  <si>
    <t>Jelmagyarázat</t>
  </si>
  <si>
    <t>EUR</t>
  </si>
  <si>
    <t>HUF</t>
  </si>
  <si>
    <t>Sorszám</t>
  </si>
  <si>
    <t>...</t>
  </si>
  <si>
    <t>Banki könyvi kamatlábkockázat - Kamatkockázati adatok</t>
  </si>
  <si>
    <t>Termék</t>
  </si>
  <si>
    <t>Névérték</t>
  </si>
  <si>
    <t>Hátralévő futamidő</t>
  </si>
  <si>
    <t>Teljes futamidő</t>
  </si>
  <si>
    <t>Kamat</t>
  </si>
  <si>
    <t>változó</t>
  </si>
  <si>
    <t>Kamatbázis</t>
  </si>
  <si>
    <t>Kamatfelár</t>
  </si>
  <si>
    <t>BUBOR3M</t>
  </si>
  <si>
    <t>+50bps</t>
  </si>
  <si>
    <t>Amortizáció</t>
  </si>
  <si>
    <t>negyedéves, lineáris</t>
  </si>
  <si>
    <t>7 év</t>
  </si>
  <si>
    <t>4 év</t>
  </si>
  <si>
    <t>Kamatfizetés</t>
  </si>
  <si>
    <t>Tőketörlesztés</t>
  </si>
  <si>
    <t>70M</t>
  </si>
  <si>
    <t>LOAN_PERFORMING</t>
  </si>
  <si>
    <t>FLOAT</t>
  </si>
  <si>
    <t>C</t>
  </si>
  <si>
    <t>I</t>
  </si>
  <si>
    <t>1M_3M</t>
  </si>
  <si>
    <t>3M_6M</t>
  </si>
  <si>
    <t>6M_9M</t>
  </si>
  <si>
    <t>9M_12M</t>
  </si>
  <si>
    <t>12M_18M</t>
  </si>
  <si>
    <t>18M_2Y</t>
  </si>
  <si>
    <t>2Y_3Y</t>
  </si>
  <si>
    <t>3Y_4Y</t>
  </si>
  <si>
    <t>fordulónap épp most volt, BUBOR: 0,15%</t>
  </si>
  <si>
    <t>100M</t>
  </si>
  <si>
    <t>3 év</t>
  </si>
  <si>
    <t>NMD_RETAIL</t>
  </si>
  <si>
    <t>NONMATURING</t>
  </si>
  <si>
    <t>ON_1M</t>
  </si>
  <si>
    <t>Pay</t>
  </si>
  <si>
    <t>Rec</t>
  </si>
  <si>
    <t>6M EURIBOR</t>
  </si>
  <si>
    <t>6M BUBOR +20bp</t>
  </si>
  <si>
    <t>6M BUBOR</t>
  </si>
  <si>
    <t>Pay EUR</t>
  </si>
  <si>
    <t>Rec HUF</t>
  </si>
  <si>
    <t>PAY_IRS</t>
  </si>
  <si>
    <t>FIX</t>
  </si>
  <si>
    <t>REC_IRS</t>
  </si>
  <si>
    <t>Futamidő</t>
  </si>
  <si>
    <t>1. példa: Vállalati hitel</t>
  </si>
  <si>
    <t>Példajegyzék a 9R1 tábla kitöltéséhez</t>
  </si>
  <si>
    <t>CF (bucketenként)</t>
  </si>
  <si>
    <t>Hátralévő CF-ek lejárati sávba sorolása</t>
  </si>
  <si>
    <t>t (év)</t>
  </si>
  <si>
    <t>Spot EURHUF</t>
  </si>
  <si>
    <t>T (év)</t>
  </si>
  <si>
    <t>Névérték HUF</t>
  </si>
  <si>
    <t>Névérték EUR</t>
  </si>
  <si>
    <t>T (hó)</t>
  </si>
  <si>
    <t>10 év</t>
  </si>
  <si>
    <t>Vállalati hitel</t>
  </si>
  <si>
    <t>5Y_6Y</t>
  </si>
  <si>
    <t>Előtörlesztéssel modellezett</t>
  </si>
  <si>
    <t>Szerződés szerint</t>
  </si>
  <si>
    <t>Nyitó tőke</t>
  </si>
  <si>
    <t>Törlesztő</t>
  </si>
  <si>
    <t>Tőke</t>
  </si>
  <si>
    <t>Előtörlesztés</t>
  </si>
  <si>
    <t>Záró tőke</t>
  </si>
  <si>
    <t>Lejárati sávokba sorolás</t>
  </si>
  <si>
    <t>4Y_5Y</t>
  </si>
  <si>
    <t>Modellezett CF</t>
  </si>
  <si>
    <t>Szerződéses CF</t>
  </si>
  <si>
    <t>5 év</t>
  </si>
  <si>
    <t>H1K5</t>
  </si>
  <si>
    <t>100% PSA</t>
  </si>
  <si>
    <t>Lakossági jelzáloghitel</t>
  </si>
  <si>
    <t>Kamatperiódus</t>
  </si>
  <si>
    <t>Előtörlesztés modellezése (CPR)</t>
  </si>
  <si>
    <t>Kamatváltozási mutató</t>
  </si>
  <si>
    <t>Hátralévő CF lefutás</t>
  </si>
  <si>
    <t>Fennálló tőke (induló)</t>
  </si>
  <si>
    <t>t (hó)</t>
  </si>
  <si>
    <t>Pénzáramlások</t>
  </si>
  <si>
    <t>Fix 10</t>
  </si>
  <si>
    <t>6Y_7Y</t>
  </si>
  <si>
    <t>7Y_8Y</t>
  </si>
  <si>
    <t>8Y_9Y</t>
  </si>
  <si>
    <t>9Y_10Y</t>
  </si>
  <si>
    <t>4. példa: Modellezett látra szóló betét (lakossági)</t>
  </si>
  <si>
    <t>2. példa: Lakossági jelzáloghitel, 5 éves kamatperiódus</t>
  </si>
  <si>
    <t>3. példa: Lakossági fix jelzáloghitel, előtörlesztési modellezéssel</t>
  </si>
  <si>
    <t>Pay fix</t>
  </si>
  <si>
    <t>Rec float</t>
  </si>
  <si>
    <t>Kamatcsereügylet</t>
  </si>
  <si>
    <t>CCIRS</t>
  </si>
  <si>
    <t>CCIRS CF (tőke nélkül)</t>
  </si>
  <si>
    <t>5. példa: Kamatcsereügylet</t>
  </si>
  <si>
    <t>6. példa: CCIRS</t>
  </si>
  <si>
    <t>0.: 9R1 tábla felépítése</t>
  </si>
  <si>
    <t>CPR (conditional prepayment rate)</t>
  </si>
  <si>
    <t>SMM (single monthly mortality)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</si>
</sst>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#000"/>
    <numFmt numFmtId="165" formatCode="_-* #,##0_-;\-* #,##0_-;_-* &quot;-&quot;??_-;_-@_-"/>
    <numFmt numFmtId="166" formatCode="0.0%"/>
    <numFmt numFmtId="167" formatCode="_-* #,##0.00\ _F_t_-;\-* #,##0.00\ _F_t_-;_-* &quot;-&quot;??\ _F_t_-;_-@_-"/>
    <numFmt numFmtId="168" formatCode="0.000%"/>
    <numFmt numFmtId="169" formatCode="0.0000%"/>
    <numFmt numFmtId="170" formatCode="0.000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0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sz val="10"/>
      <color indexed="63"/>
      <name val="Arial"/>
      <family val="2"/>
    </font>
    <font>
      <sz val="11"/>
      <color indexed="10"/>
      <name val="Calibri"/>
      <family val="2"/>
    </font>
    <font>
      <u val="single"/>
      <sz val="14"/>
      <color indexed="30"/>
      <name val="Arial"/>
      <family val="2"/>
    </font>
    <font>
      <u val="single"/>
      <sz val="10"/>
      <color indexed="25"/>
      <name val="Arial"/>
      <family val="0"/>
    </font>
    <font>
      <b/>
      <sz val="16"/>
      <color indexed="8"/>
      <name val="Times New Roman CE"/>
      <family val="0"/>
    </font>
    <font>
      <b/>
      <i/>
      <sz val="12"/>
      <color indexed="8"/>
      <name val="Times New Roman CE"/>
      <family val="0"/>
    </font>
    <font>
      <b/>
      <i/>
      <sz val="10"/>
      <color indexed="8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0"/>
      <color indexed="10"/>
      <name val="Arial"/>
      <family val="0"/>
    </font>
    <font>
      <sz val="11"/>
      <color indexed="10"/>
      <name val="Arial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theme="0" tint="-0.3499799966812134"/>
      <name val="Arial"/>
      <family val="2"/>
    </font>
    <font>
      <sz val="10"/>
      <color theme="1" tint="0.34999001026153564"/>
      <name val="Arial"/>
      <family val="2"/>
    </font>
    <font>
      <u val="single"/>
      <sz val="14"/>
      <color theme="10"/>
      <name val="Arial"/>
      <family val="2"/>
    </font>
    <font>
      <b/>
      <sz val="16"/>
      <color rgb="FF000000"/>
      <name val="Times New Roman CE"/>
      <family val="0"/>
    </font>
    <font>
      <b/>
      <i/>
      <sz val="12"/>
      <color rgb="FF000000"/>
      <name val="Times New Roman CE"/>
      <family val="0"/>
    </font>
    <font>
      <b/>
      <i/>
      <sz val="10"/>
      <color rgb="FF000000"/>
      <name val="Times New Roman CE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4A460"/>
        <bgColor indexed="64"/>
      </patternFill>
    </fill>
    <fill>
      <patternFill patternType="solid">
        <fgColor rgb="FFFF8C0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7FFFD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E9967A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B222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/>
    </border>
    <border>
      <left style="thin">
        <color rgb="FF000000"/>
      </left>
      <right style="thick">
        <color rgb="FF000000"/>
      </right>
      <top style="thin">
        <color rgb="FF000000"/>
      </top>
      <bottom style="medium"/>
    </border>
    <border>
      <left style="thick">
        <color rgb="FF000000"/>
      </left>
      <right style="thin">
        <color rgb="FF000000"/>
      </right>
      <top style="thin">
        <color rgb="FF000000"/>
      </top>
      <bottom style="thick"/>
    </border>
    <border>
      <left style="thin">
        <color rgb="FF000000"/>
      </left>
      <right style="thin">
        <color rgb="FF000000"/>
      </right>
      <top style="thin">
        <color rgb="FF000000"/>
      </top>
      <bottom style="thick"/>
    </border>
    <border>
      <left style="thin">
        <color rgb="FF000000"/>
      </left>
      <right style="thick">
        <color rgb="FF000000"/>
      </right>
      <top style="thin">
        <color rgb="FF000000"/>
      </top>
      <bottom style="thick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/>
      <bottom/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>
      <alignment horizontal="left" vertical="center" wrapText="1"/>
      <protection/>
    </xf>
    <xf numFmtId="0" fontId="37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52" fillId="0" borderId="0" xfId="56">
      <alignment horizontal="left" vertical="center" wrapText="1"/>
      <protection/>
    </xf>
    <xf numFmtId="49" fontId="52" fillId="0" borderId="10" xfId="56" applyNumberFormat="1" applyBorder="1">
      <alignment horizontal="left" vertical="center" wrapText="1"/>
      <protection/>
    </xf>
    <xf numFmtId="0" fontId="52" fillId="33" borderId="11" xfId="56" applyFill="1" applyBorder="1">
      <alignment horizontal="left" vertical="center" wrapText="1"/>
      <protection/>
    </xf>
    <xf numFmtId="49" fontId="52" fillId="0" borderId="12" xfId="56" applyNumberFormat="1" applyBorder="1">
      <alignment horizontal="left" vertical="center" wrapText="1"/>
      <protection/>
    </xf>
    <xf numFmtId="0" fontId="52" fillId="34" borderId="13" xfId="56" applyFill="1" applyBorder="1">
      <alignment horizontal="left" vertical="center" wrapText="1"/>
      <protection/>
    </xf>
    <xf numFmtId="0" fontId="52" fillId="35" borderId="13" xfId="56" applyFill="1" applyBorder="1">
      <alignment horizontal="left" vertical="center" wrapText="1"/>
      <protection/>
    </xf>
    <xf numFmtId="0" fontId="52" fillId="36" borderId="13" xfId="56" applyFill="1" applyBorder="1">
      <alignment horizontal="left" vertical="center" wrapText="1"/>
      <protection/>
    </xf>
    <xf numFmtId="0" fontId="52" fillId="37" borderId="13" xfId="56" applyFill="1" applyBorder="1">
      <alignment horizontal="left" vertical="center" wrapText="1"/>
      <protection/>
    </xf>
    <xf numFmtId="0" fontId="52" fillId="38" borderId="13" xfId="56" applyFill="1" applyBorder="1">
      <alignment horizontal="left" vertical="center" wrapText="1"/>
      <protection/>
    </xf>
    <xf numFmtId="0" fontId="52" fillId="39" borderId="13" xfId="56" applyFill="1" applyBorder="1">
      <alignment horizontal="left" vertical="center" wrapText="1"/>
      <protection/>
    </xf>
    <xf numFmtId="0" fontId="52" fillId="40" borderId="13" xfId="56" applyFill="1" applyBorder="1">
      <alignment horizontal="left" vertical="center" wrapText="1"/>
      <protection/>
    </xf>
    <xf numFmtId="0" fontId="52" fillId="41" borderId="13" xfId="56" applyFill="1" applyBorder="1">
      <alignment horizontal="left" vertical="center" wrapText="1"/>
      <protection/>
    </xf>
    <xf numFmtId="0" fontId="52" fillId="42" borderId="13" xfId="56" applyFill="1" applyBorder="1">
      <alignment horizontal="left" vertical="center" wrapText="1"/>
      <protection/>
    </xf>
    <xf numFmtId="0" fontId="52" fillId="38" borderId="10" xfId="56" applyFill="1" applyBorder="1">
      <alignment horizontal="left" vertical="center" wrapText="1"/>
      <protection/>
    </xf>
    <xf numFmtId="49" fontId="52" fillId="0" borderId="14" xfId="56" applyNumberFormat="1" applyBorder="1">
      <alignment horizontal="left" vertical="center" wrapText="1"/>
      <protection/>
    </xf>
    <xf numFmtId="164" fontId="57" fillId="0" borderId="11" xfId="56" applyNumberFormat="1" applyFont="1" applyBorder="1" applyAlignment="1">
      <alignment horizontal="center" vertical="center" wrapText="1"/>
      <protection/>
    </xf>
    <xf numFmtId="0" fontId="52" fillId="38" borderId="12" xfId="56" applyFill="1" applyBorder="1">
      <alignment horizontal="left" vertical="center" wrapText="1"/>
      <protection/>
    </xf>
    <xf numFmtId="49" fontId="52" fillId="0" borderId="15" xfId="56" applyNumberFormat="1" applyBorder="1">
      <alignment horizontal="left" vertical="center" wrapText="1"/>
      <protection/>
    </xf>
    <xf numFmtId="164" fontId="57" fillId="0" borderId="13" xfId="56" applyNumberFormat="1" applyFont="1" applyBorder="1" applyAlignment="1">
      <alignment horizontal="center" vertical="center" wrapText="1"/>
      <protection/>
    </xf>
    <xf numFmtId="0" fontId="52" fillId="35" borderId="15" xfId="56" applyFill="1" applyBorder="1">
      <alignment horizontal="left" vertical="center" wrapText="1"/>
      <protection/>
    </xf>
    <xf numFmtId="0" fontId="52" fillId="38" borderId="16" xfId="56" applyFill="1" applyBorder="1">
      <alignment horizontal="left" vertical="center" wrapText="1"/>
      <protection/>
    </xf>
    <xf numFmtId="49" fontId="52" fillId="0" borderId="16" xfId="56" applyNumberFormat="1" applyBorder="1">
      <alignment horizontal="left" vertical="center" wrapText="1"/>
      <protection/>
    </xf>
    <xf numFmtId="49" fontId="52" fillId="0" borderId="17" xfId="56" applyNumberFormat="1" applyBorder="1">
      <alignment horizontal="left" vertical="center" wrapText="1"/>
      <protection/>
    </xf>
    <xf numFmtId="164" fontId="57" fillId="0" borderId="18" xfId="56" applyNumberFormat="1" applyFont="1" applyBorder="1" applyAlignment="1">
      <alignment horizontal="center" vertical="center" wrapText="1"/>
      <protection/>
    </xf>
    <xf numFmtId="49" fontId="58" fillId="0" borderId="19" xfId="56" applyNumberFormat="1" applyFont="1" applyBorder="1" applyAlignment="1">
      <alignment horizontal="center" vertical="center" wrapText="1"/>
      <protection/>
    </xf>
    <xf numFmtId="0" fontId="52" fillId="35" borderId="14" xfId="56" applyFill="1" applyBorder="1">
      <alignment horizontal="left" vertical="center" wrapText="1"/>
      <protection/>
    </xf>
    <xf numFmtId="0" fontId="52" fillId="38" borderId="14" xfId="56" applyFill="1" applyBorder="1">
      <alignment horizontal="left" vertical="center" wrapText="1"/>
      <protection/>
    </xf>
    <xf numFmtId="0" fontId="52" fillId="38" borderId="11" xfId="56" applyFill="1" applyBorder="1">
      <alignment horizontal="left" vertical="center" wrapText="1"/>
      <protection/>
    </xf>
    <xf numFmtId="0" fontId="52" fillId="38" borderId="15" xfId="56" applyFill="1" applyBorder="1">
      <alignment horizontal="left" vertical="center" wrapText="1"/>
      <protection/>
    </xf>
    <xf numFmtId="0" fontId="52" fillId="35" borderId="17" xfId="56" applyFill="1" applyBorder="1">
      <alignment horizontal="left" vertical="center" wrapText="1"/>
      <protection/>
    </xf>
    <xf numFmtId="0" fontId="52" fillId="38" borderId="17" xfId="56" applyFill="1" applyBorder="1">
      <alignment horizontal="left" vertical="center" wrapText="1"/>
      <protection/>
    </xf>
    <xf numFmtId="0" fontId="52" fillId="38" borderId="18" xfId="56" applyFill="1" applyBorder="1">
      <alignment horizontal="left" vertical="center" wrapText="1"/>
      <protection/>
    </xf>
    <xf numFmtId="43" fontId="0" fillId="0" borderId="0" xfId="40" applyFont="1" applyAlignment="1">
      <alignment/>
    </xf>
    <xf numFmtId="0" fontId="58" fillId="38" borderId="17" xfId="56" applyFont="1" applyFill="1" applyBorder="1" applyAlignment="1">
      <alignment horizontal="center" vertical="center" wrapText="1"/>
      <protection/>
    </xf>
    <xf numFmtId="0" fontId="2" fillId="38" borderId="18" xfId="56" applyFont="1" applyFill="1" applyBorder="1" applyAlignment="1">
      <alignment horizontal="center" vertical="center" wrapText="1"/>
      <protection/>
    </xf>
    <xf numFmtId="0" fontId="2" fillId="38" borderId="13" xfId="56" applyFont="1" applyFill="1" applyBorder="1" applyAlignment="1">
      <alignment horizontal="center" vertical="center" wrapText="1"/>
      <protection/>
    </xf>
    <xf numFmtId="0" fontId="58" fillId="38" borderId="20" xfId="56" applyFont="1" applyFill="1" applyBorder="1" applyAlignment="1">
      <alignment horizontal="center" vertical="center" wrapText="1"/>
      <protection/>
    </xf>
    <xf numFmtId="0" fontId="58" fillId="38" borderId="21" xfId="56" applyFont="1" applyFill="1" applyBorder="1" applyAlignment="1">
      <alignment horizontal="center" vertical="center" wrapText="1"/>
      <protection/>
    </xf>
    <xf numFmtId="0" fontId="58" fillId="38" borderId="15" xfId="56" applyFont="1" applyFill="1" applyBorder="1" applyAlignment="1">
      <alignment horizontal="center" vertical="center" wrapText="1"/>
      <protection/>
    </xf>
    <xf numFmtId="0" fontId="58" fillId="38" borderId="22" xfId="56" applyFont="1" applyFill="1" applyBorder="1" applyAlignment="1">
      <alignment horizontal="center" vertical="center" wrapText="1"/>
      <protection/>
    </xf>
    <xf numFmtId="0" fontId="58" fillId="38" borderId="23" xfId="56" applyFont="1" applyFill="1" applyBorder="1" applyAlignment="1">
      <alignment horizontal="center" vertical="center" wrapText="1"/>
      <protection/>
    </xf>
    <xf numFmtId="0" fontId="52" fillId="38" borderId="24" xfId="56" applyFill="1" applyBorder="1">
      <alignment horizontal="left" vertical="center" wrapText="1"/>
      <protection/>
    </xf>
    <xf numFmtId="165" fontId="52" fillId="35" borderId="17" xfId="40" applyNumberFormat="1" applyFont="1" applyFill="1" applyBorder="1" applyAlignment="1">
      <alignment horizontal="left" vertical="center" wrapText="1"/>
    </xf>
    <xf numFmtId="165" fontId="52" fillId="35" borderId="15" xfId="40" applyNumberFormat="1" applyFont="1" applyFill="1" applyBorder="1" applyAlignment="1">
      <alignment horizontal="left" vertical="center" wrapText="1"/>
    </xf>
    <xf numFmtId="165" fontId="52" fillId="35" borderId="23" xfId="40" applyNumberFormat="1" applyFont="1" applyFill="1" applyBorder="1" applyAlignment="1">
      <alignment horizontal="left" vertical="center" wrapText="1"/>
    </xf>
    <xf numFmtId="165" fontId="52" fillId="35" borderId="14" xfId="4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58" fillId="38" borderId="25" xfId="56" applyFont="1" applyFill="1" applyBorder="1" applyAlignment="1">
      <alignment horizontal="center" vertical="center" wrapText="1"/>
      <protection/>
    </xf>
    <xf numFmtId="0" fontId="2" fillId="38" borderId="26" xfId="56" applyFont="1" applyFill="1" applyBorder="1" applyAlignment="1">
      <alignment horizontal="center" vertical="center" wrapText="1"/>
      <protection/>
    </xf>
    <xf numFmtId="0" fontId="58" fillId="38" borderId="27" xfId="56" applyFont="1" applyFill="1" applyBorder="1" applyAlignment="1">
      <alignment horizontal="center" vertical="center" wrapText="1"/>
      <protection/>
    </xf>
    <xf numFmtId="165" fontId="52" fillId="35" borderId="22" xfId="40" applyNumberFormat="1" applyFont="1" applyFill="1" applyBorder="1" applyAlignment="1">
      <alignment horizontal="left" vertical="center" wrapText="1"/>
    </xf>
    <xf numFmtId="0" fontId="52" fillId="38" borderId="28" xfId="56" applyFill="1" applyBorder="1">
      <alignment horizontal="left" vertical="center" wrapText="1"/>
      <protection/>
    </xf>
    <xf numFmtId="165" fontId="52" fillId="35" borderId="25" xfId="40" applyNumberFormat="1" applyFont="1" applyFill="1" applyBorder="1" applyAlignment="1">
      <alignment horizontal="left" vertical="center" wrapText="1"/>
    </xf>
    <xf numFmtId="0" fontId="52" fillId="38" borderId="29" xfId="56" applyFill="1" applyBorder="1">
      <alignment horizontal="left" vertical="center" wrapText="1"/>
      <protection/>
    </xf>
    <xf numFmtId="0" fontId="0" fillId="0" borderId="0" xfId="0" applyAlignment="1">
      <alignment horizontal="center"/>
    </xf>
    <xf numFmtId="49" fontId="58" fillId="0" borderId="19" xfId="56" applyNumberFormat="1" applyFont="1" applyBorder="1" applyAlignment="1">
      <alignment horizontal="center" vertical="center"/>
      <protection/>
    </xf>
    <xf numFmtId="0" fontId="52" fillId="38" borderId="16" xfId="56" applyFont="1" applyFill="1" applyBorder="1">
      <alignment horizontal="left" vertical="center" wrapText="1"/>
      <protection/>
    </xf>
    <xf numFmtId="0" fontId="52" fillId="38" borderId="12" xfId="56" applyFont="1" applyFill="1" applyBorder="1">
      <alignment horizontal="left" vertical="center" wrapText="1"/>
      <protection/>
    </xf>
    <xf numFmtId="0" fontId="52" fillId="38" borderId="24" xfId="56" applyFont="1" applyFill="1" applyBorder="1">
      <alignment horizontal="left" vertical="center" wrapText="1"/>
      <protection/>
    </xf>
    <xf numFmtId="0" fontId="2" fillId="0" borderId="0" xfId="0" applyFont="1" applyAlignment="1">
      <alignment/>
    </xf>
    <xf numFmtId="0" fontId="59" fillId="0" borderId="0" xfId="0" applyFont="1" applyAlignment="1">
      <alignment vertical="center" wrapText="1"/>
    </xf>
    <xf numFmtId="0" fontId="2" fillId="38" borderId="30" xfId="56" applyFont="1" applyFill="1" applyBorder="1" applyAlignment="1">
      <alignment horizontal="center" vertical="center" wrapText="1"/>
      <protection/>
    </xf>
    <xf numFmtId="0" fontId="2" fillId="38" borderId="31" xfId="56" applyFont="1" applyFill="1" applyBorder="1" applyAlignment="1">
      <alignment horizontal="center" vertical="center" wrapText="1"/>
      <protection/>
    </xf>
    <xf numFmtId="165" fontId="0" fillId="35" borderId="31" xfId="40" applyNumberFormat="1" applyFont="1" applyFill="1" applyBorder="1" applyAlignment="1">
      <alignment horizontal="left" vertical="center" wrapText="1"/>
    </xf>
    <xf numFmtId="0" fontId="0" fillId="38" borderId="32" xfId="56" applyFont="1" applyFill="1" applyBorder="1">
      <alignment horizontal="left" vertical="center" wrapText="1"/>
      <protection/>
    </xf>
    <xf numFmtId="0" fontId="0" fillId="0" borderId="33" xfId="0" applyFont="1" applyBorder="1" applyAlignment="1">
      <alignment horizontal="center"/>
    </xf>
    <xf numFmtId="165" fontId="0" fillId="0" borderId="34" xfId="40" applyNumberFormat="1" applyFont="1" applyBorder="1" applyAlignment="1">
      <alignment/>
    </xf>
    <xf numFmtId="0" fontId="0" fillId="0" borderId="33" xfId="0" applyFont="1" applyBorder="1" applyAlignment="1">
      <alignment/>
    </xf>
    <xf numFmtId="165" fontId="0" fillId="0" borderId="33" xfId="40" applyNumberFormat="1" applyFont="1" applyBorder="1" applyAlignment="1">
      <alignment/>
    </xf>
    <xf numFmtId="0" fontId="0" fillId="43" borderId="33" xfId="0" applyFont="1" applyFill="1" applyBorder="1" applyAlignment="1">
      <alignment/>
    </xf>
    <xf numFmtId="165" fontId="0" fillId="43" borderId="33" xfId="40" applyNumberFormat="1" applyFont="1" applyFill="1" applyBorder="1" applyAlignment="1">
      <alignment/>
    </xf>
    <xf numFmtId="0" fontId="2" fillId="44" borderId="35" xfId="0" applyFont="1" applyFill="1" applyBorder="1" applyAlignment="1">
      <alignment horizontal="center"/>
    </xf>
    <xf numFmtId="0" fontId="2" fillId="44" borderId="36" xfId="0" applyFont="1" applyFill="1" applyBorder="1" applyAlignment="1">
      <alignment horizontal="center"/>
    </xf>
    <xf numFmtId="0" fontId="2" fillId="44" borderId="37" xfId="0" applyFont="1" applyFill="1" applyBorder="1" applyAlignment="1">
      <alignment horizontal="center"/>
    </xf>
    <xf numFmtId="0" fontId="3" fillId="44" borderId="33" xfId="0" applyFont="1" applyFill="1" applyBorder="1" applyAlignment="1">
      <alignment horizontal="right"/>
    </xf>
    <xf numFmtId="49" fontId="52" fillId="0" borderId="33" xfId="56" applyNumberFormat="1" applyFont="1" applyFill="1" applyBorder="1" applyAlignment="1">
      <alignment horizontal="center" vertical="center" wrapText="1"/>
      <protection/>
    </xf>
    <xf numFmtId="0" fontId="0" fillId="0" borderId="33" xfId="0" applyFont="1" applyBorder="1" applyAlignment="1" quotePrefix="1">
      <alignment horizontal="center"/>
    </xf>
    <xf numFmtId="43" fontId="0" fillId="0" borderId="33" xfId="40" applyFont="1" applyBorder="1" applyAlignment="1">
      <alignment/>
    </xf>
    <xf numFmtId="43" fontId="0" fillId="0" borderId="33" xfId="4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44" borderId="35" xfId="0" applyFont="1" applyFill="1" applyBorder="1" applyAlignment="1">
      <alignment horizontal="center" vertical="center"/>
    </xf>
    <xf numFmtId="0" fontId="2" fillId="44" borderId="37" xfId="0" applyFont="1" applyFill="1" applyBorder="1" applyAlignment="1">
      <alignment horizontal="center" vertical="center"/>
    </xf>
    <xf numFmtId="0" fontId="2" fillId="44" borderId="36" xfId="0" applyFont="1" applyFill="1" applyBorder="1" applyAlignment="1">
      <alignment horizontal="center" vertical="center"/>
    </xf>
    <xf numFmtId="43" fontId="0" fillId="0" borderId="38" xfId="40" applyFont="1" applyFill="1" applyBorder="1" applyAlignment="1">
      <alignment/>
    </xf>
    <xf numFmtId="43" fontId="0" fillId="0" borderId="39" xfId="40" applyFont="1" applyFill="1" applyBorder="1" applyAlignment="1">
      <alignment/>
    </xf>
    <xf numFmtId="43" fontId="0" fillId="0" borderId="35" xfId="40" applyFont="1" applyFill="1" applyBorder="1" applyAlignment="1">
      <alignment/>
    </xf>
    <xf numFmtId="43" fontId="0" fillId="0" borderId="36" xfId="40" applyFont="1" applyFill="1" applyBorder="1" applyAlignment="1">
      <alignment/>
    </xf>
    <xf numFmtId="43" fontId="0" fillId="0" borderId="0" xfId="40" applyFont="1" applyAlignment="1">
      <alignment horizontal="center"/>
    </xf>
    <xf numFmtId="10" fontId="0" fillId="0" borderId="33" xfId="0" applyNumberFormat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45" borderId="37" xfId="0" applyFont="1" applyFill="1" applyBorder="1" applyAlignment="1">
      <alignment horizontal="center"/>
    </xf>
    <xf numFmtId="0" fontId="2" fillId="45" borderId="36" xfId="0" applyFont="1" applyFill="1" applyBorder="1" applyAlignment="1">
      <alignment horizontal="center"/>
    </xf>
    <xf numFmtId="165" fontId="52" fillId="35" borderId="27" xfId="40" applyNumberFormat="1" applyFont="1" applyFill="1" applyBorder="1" applyAlignment="1">
      <alignment horizontal="left" vertical="center" wrapText="1"/>
    </xf>
    <xf numFmtId="0" fontId="52" fillId="38" borderId="41" xfId="56" applyFill="1" applyBorder="1">
      <alignment horizontal="left" vertical="center" wrapText="1"/>
      <protection/>
    </xf>
    <xf numFmtId="0" fontId="2" fillId="38" borderId="11" xfId="56" applyFont="1" applyFill="1" applyBorder="1" applyAlignment="1">
      <alignment horizontal="center" vertical="center" wrapText="1"/>
      <protection/>
    </xf>
    <xf numFmtId="0" fontId="58" fillId="38" borderId="14" xfId="56" applyFont="1" applyFill="1" applyBorder="1" applyAlignment="1">
      <alignment horizontal="center" vertical="center" wrapText="1"/>
      <protection/>
    </xf>
    <xf numFmtId="10" fontId="0" fillId="0" borderId="0" xfId="64" applyNumberFormat="1" applyFont="1" applyAlignment="1">
      <alignment/>
    </xf>
    <xf numFmtId="43" fontId="0" fillId="0" borderId="0" xfId="0" applyNumberFormat="1" applyAlignment="1">
      <alignment/>
    </xf>
    <xf numFmtId="8" fontId="0" fillId="0" borderId="0" xfId="0" applyNumberFormat="1" applyAlignment="1">
      <alignment/>
    </xf>
    <xf numFmtId="167" fontId="0" fillId="0" borderId="33" xfId="0" applyNumberFormat="1" applyBorder="1" applyAlignment="1">
      <alignment/>
    </xf>
    <xf numFmtId="43" fontId="0" fillId="0" borderId="38" xfId="40" applyFont="1" applyBorder="1" applyAlignment="1">
      <alignment/>
    </xf>
    <xf numFmtId="43" fontId="0" fillId="0" borderId="39" xfId="40" applyFont="1" applyBorder="1" applyAlignment="1">
      <alignment/>
    </xf>
    <xf numFmtId="167" fontId="0" fillId="0" borderId="38" xfId="0" applyNumberFormat="1" applyBorder="1" applyAlignment="1">
      <alignment/>
    </xf>
    <xf numFmtId="170" fontId="0" fillId="0" borderId="0" xfId="0" applyNumberFormat="1" applyAlignment="1">
      <alignment/>
    </xf>
    <xf numFmtId="0" fontId="0" fillId="0" borderId="38" xfId="0" applyBorder="1" applyAlignment="1">
      <alignment/>
    </xf>
    <xf numFmtId="0" fontId="0" fillId="43" borderId="38" xfId="0" applyFill="1" applyBorder="1" applyAlignment="1">
      <alignment/>
    </xf>
    <xf numFmtId="167" fontId="0" fillId="0" borderId="0" xfId="0" applyNumberFormat="1" applyFont="1" applyAlignment="1">
      <alignment/>
    </xf>
    <xf numFmtId="43" fontId="0" fillId="3" borderId="39" xfId="40" applyFont="1" applyFill="1" applyBorder="1" applyAlignment="1">
      <alignment/>
    </xf>
    <xf numFmtId="43" fontId="0" fillId="3" borderId="36" xfId="40" applyFont="1" applyFill="1" applyBorder="1" applyAlignment="1">
      <alignment/>
    </xf>
    <xf numFmtId="9" fontId="0" fillId="0" borderId="0" xfId="0" applyNumberFormat="1" applyFont="1" applyAlignment="1">
      <alignment/>
    </xf>
    <xf numFmtId="166" fontId="0" fillId="0" borderId="33" xfId="0" applyNumberFormat="1" applyBorder="1" applyAlignment="1">
      <alignment horizontal="center"/>
    </xf>
    <xf numFmtId="168" fontId="0" fillId="0" borderId="0" xfId="64" applyNumberFormat="1" applyFont="1" applyAlignment="1">
      <alignment horizontal="left"/>
    </xf>
    <xf numFmtId="0" fontId="3" fillId="44" borderId="33" xfId="0" applyFont="1" applyFill="1" applyBorder="1" applyAlignment="1">
      <alignment horizontal="right" wrapText="1"/>
    </xf>
    <xf numFmtId="10" fontId="0" fillId="0" borderId="33" xfId="40" applyNumberFormat="1" applyFont="1" applyBorder="1" applyAlignment="1">
      <alignment horizontal="center"/>
    </xf>
    <xf numFmtId="169" fontId="0" fillId="0" borderId="33" xfId="64" applyNumberFormat="1" applyFon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167" fontId="0" fillId="0" borderId="39" xfId="0" applyNumberFormat="1" applyBorder="1" applyAlignment="1">
      <alignment horizontal="center"/>
    </xf>
    <xf numFmtId="167" fontId="0" fillId="0" borderId="38" xfId="0" applyNumberFormat="1" applyBorder="1" applyAlignment="1">
      <alignment horizontal="center"/>
    </xf>
    <xf numFmtId="43" fontId="0" fillId="0" borderId="39" xfId="40" applyFont="1" applyBorder="1" applyAlignment="1">
      <alignment horizontal="center"/>
    </xf>
    <xf numFmtId="43" fontId="0" fillId="43" borderId="33" xfId="40" applyFont="1" applyFill="1" applyBorder="1" applyAlignment="1">
      <alignment horizontal="center"/>
    </xf>
    <xf numFmtId="167" fontId="0" fillId="43" borderId="33" xfId="0" applyNumberFormat="1" applyFill="1" applyBorder="1" applyAlignment="1">
      <alignment horizontal="center"/>
    </xf>
    <xf numFmtId="167" fontId="0" fillId="43" borderId="38" xfId="0" applyNumberFormat="1" applyFill="1" applyBorder="1" applyAlignment="1">
      <alignment horizontal="center"/>
    </xf>
    <xf numFmtId="43" fontId="0" fillId="43" borderId="39" xfId="40" applyFont="1" applyFill="1" applyBorder="1" applyAlignment="1">
      <alignment horizontal="center"/>
    </xf>
    <xf numFmtId="167" fontId="0" fillId="0" borderId="35" xfId="0" applyNumberFormat="1" applyBorder="1" applyAlignment="1">
      <alignment horizontal="center"/>
    </xf>
    <xf numFmtId="167" fontId="0" fillId="0" borderId="37" xfId="0" applyNumberFormat="1" applyBorder="1" applyAlignment="1">
      <alignment horizontal="center"/>
    </xf>
    <xf numFmtId="43" fontId="0" fillId="0" borderId="37" xfId="40" applyFont="1" applyBorder="1" applyAlignment="1">
      <alignment horizontal="center"/>
    </xf>
    <xf numFmtId="43" fontId="0" fillId="0" borderId="36" xfId="40" applyFont="1" applyBorder="1" applyAlignment="1">
      <alignment horizontal="center"/>
    </xf>
    <xf numFmtId="170" fontId="0" fillId="46" borderId="42" xfId="0" applyNumberFormat="1" applyFill="1" applyBorder="1" applyAlignment="1">
      <alignment vertical="center"/>
    </xf>
    <xf numFmtId="43" fontId="0" fillId="46" borderId="43" xfId="0" applyNumberFormat="1" applyFill="1" applyBorder="1" applyAlignment="1">
      <alignment vertical="center"/>
    </xf>
    <xf numFmtId="167" fontId="0" fillId="46" borderId="43" xfId="0" applyNumberFormat="1" applyFill="1" applyBorder="1" applyAlignment="1">
      <alignment vertical="center"/>
    </xf>
    <xf numFmtId="43" fontId="0" fillId="46" borderId="44" xfId="0" applyNumberFormat="1" applyFill="1" applyBorder="1" applyAlignment="1">
      <alignment vertical="center"/>
    </xf>
    <xf numFmtId="170" fontId="0" fillId="46" borderId="45" xfId="0" applyNumberFormat="1" applyFill="1" applyBorder="1" applyAlignment="1">
      <alignment vertical="center"/>
    </xf>
    <xf numFmtId="170" fontId="0" fillId="46" borderId="46" xfId="0" applyNumberFormat="1" applyFill="1" applyBorder="1" applyAlignment="1">
      <alignment vertical="center"/>
    </xf>
    <xf numFmtId="170" fontId="0" fillId="46" borderId="47" xfId="0" applyNumberFormat="1" applyFill="1" applyBorder="1" applyAlignment="1">
      <alignment vertical="center"/>
    </xf>
    <xf numFmtId="170" fontId="0" fillId="46" borderId="45" xfId="0" applyNumberFormat="1" applyFill="1" applyBorder="1" applyAlignment="1">
      <alignment/>
    </xf>
    <xf numFmtId="170" fontId="0" fillId="46" borderId="47" xfId="0" applyNumberFormat="1" applyFill="1" applyBorder="1" applyAlignment="1">
      <alignment/>
    </xf>
    <xf numFmtId="170" fontId="0" fillId="46" borderId="46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0" fontId="2" fillId="44" borderId="38" xfId="0" applyFont="1" applyFill="1" applyBorder="1" applyAlignment="1">
      <alignment horizontal="center" vertical="center"/>
    </xf>
    <xf numFmtId="0" fontId="2" fillId="44" borderId="33" xfId="0" applyFont="1" applyFill="1" applyBorder="1" applyAlignment="1">
      <alignment horizontal="center" vertical="center"/>
    </xf>
    <xf numFmtId="0" fontId="2" fillId="44" borderId="39" xfId="0" applyFont="1" applyFill="1" applyBorder="1" applyAlignment="1">
      <alignment horizontal="center" vertical="center"/>
    </xf>
    <xf numFmtId="0" fontId="2" fillId="44" borderId="40" xfId="0" applyFon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43" fontId="0" fillId="0" borderId="33" xfId="40" applyFont="1" applyFill="1" applyBorder="1" applyAlignment="1">
      <alignment horizontal="center"/>
    </xf>
    <xf numFmtId="167" fontId="0" fillId="0" borderId="33" xfId="0" applyNumberFormat="1" applyFill="1" applyBorder="1" applyAlignment="1">
      <alignment horizontal="center"/>
    </xf>
    <xf numFmtId="10" fontId="0" fillId="0" borderId="33" xfId="40" applyNumberFormat="1" applyFont="1" applyFill="1" applyBorder="1" applyAlignment="1">
      <alignment horizontal="center"/>
    </xf>
    <xf numFmtId="169" fontId="0" fillId="0" borderId="33" xfId="64" applyNumberFormat="1" applyFont="1" applyFill="1" applyBorder="1" applyAlignment="1">
      <alignment horizontal="center"/>
    </xf>
    <xf numFmtId="167" fontId="0" fillId="0" borderId="39" xfId="0" applyNumberFormat="1" applyFill="1" applyBorder="1" applyAlignment="1">
      <alignment horizontal="center"/>
    </xf>
    <xf numFmtId="0" fontId="0" fillId="0" borderId="35" xfId="0" applyFill="1" applyBorder="1" applyAlignment="1">
      <alignment/>
    </xf>
    <xf numFmtId="43" fontId="0" fillId="0" borderId="37" xfId="40" applyFont="1" applyFill="1" applyBorder="1" applyAlignment="1">
      <alignment horizontal="center"/>
    </xf>
    <xf numFmtId="167" fontId="0" fillId="0" borderId="37" xfId="0" applyNumberFormat="1" applyFill="1" applyBorder="1" applyAlignment="1">
      <alignment horizontal="center"/>
    </xf>
    <xf numFmtId="10" fontId="0" fillId="0" borderId="37" xfId="40" applyNumberFormat="1" applyFont="1" applyFill="1" applyBorder="1" applyAlignment="1">
      <alignment horizontal="center"/>
    </xf>
    <xf numFmtId="169" fontId="0" fillId="0" borderId="37" xfId="64" applyNumberFormat="1" applyFont="1" applyFill="1" applyBorder="1" applyAlignment="1">
      <alignment horizontal="center"/>
    </xf>
    <xf numFmtId="167" fontId="0" fillId="0" borderId="36" xfId="0" applyNumberFormat="1" applyFill="1" applyBorder="1" applyAlignment="1">
      <alignment horizontal="center"/>
    </xf>
    <xf numFmtId="165" fontId="0" fillId="0" borderId="48" xfId="0" applyNumberFormat="1" applyFont="1" applyBorder="1" applyAlignment="1">
      <alignment horizontal="center" vertical="center"/>
    </xf>
    <xf numFmtId="0" fontId="2" fillId="44" borderId="49" xfId="0" applyFont="1" applyFill="1" applyBorder="1" applyAlignment="1">
      <alignment horizontal="center" vertical="center"/>
    </xf>
    <xf numFmtId="165" fontId="0" fillId="0" borderId="33" xfId="40" applyNumberFormat="1" applyFont="1" applyBorder="1" applyAlignment="1">
      <alignment horizontal="center"/>
    </xf>
    <xf numFmtId="165" fontId="0" fillId="43" borderId="34" xfId="40" applyNumberFormat="1" applyFont="1" applyFill="1" applyBorder="1" applyAlignment="1">
      <alignment/>
    </xf>
    <xf numFmtId="165" fontId="0" fillId="5" borderId="34" xfId="40" applyNumberFormat="1" applyFont="1" applyFill="1" applyBorder="1" applyAlignment="1">
      <alignment/>
    </xf>
    <xf numFmtId="165" fontId="0" fillId="5" borderId="33" xfId="40" applyNumberFormat="1" applyFont="1" applyFill="1" applyBorder="1" applyAlignment="1">
      <alignment/>
    </xf>
    <xf numFmtId="43" fontId="0" fillId="46" borderId="46" xfId="40" applyFont="1" applyFill="1" applyBorder="1" applyAlignment="1">
      <alignment horizontal="center"/>
    </xf>
    <xf numFmtId="0" fontId="52" fillId="38" borderId="41" xfId="56" applyFont="1" applyFill="1" applyBorder="1">
      <alignment horizontal="left" vertical="center" wrapText="1"/>
      <protection/>
    </xf>
    <xf numFmtId="43" fontId="0" fillId="46" borderId="45" xfId="40" applyFont="1" applyFill="1" applyBorder="1" applyAlignment="1">
      <alignment horizontal="center"/>
    </xf>
    <xf numFmtId="43" fontId="0" fillId="46" borderId="47" xfId="40" applyFont="1" applyFill="1" applyBorder="1" applyAlignment="1">
      <alignment horizontal="center"/>
    </xf>
    <xf numFmtId="167" fontId="60" fillId="0" borderId="38" xfId="0" applyNumberFormat="1" applyFont="1" applyBorder="1" applyAlignment="1">
      <alignment horizontal="center"/>
    </xf>
    <xf numFmtId="167" fontId="60" fillId="0" borderId="33" xfId="0" applyNumberFormat="1" applyFont="1" applyBorder="1" applyAlignment="1">
      <alignment horizontal="center"/>
    </xf>
    <xf numFmtId="43" fontId="60" fillId="0" borderId="33" xfId="40" applyFont="1" applyBorder="1" applyAlignment="1">
      <alignment horizontal="center"/>
    </xf>
    <xf numFmtId="43" fontId="60" fillId="0" borderId="39" xfId="40" applyFont="1" applyBorder="1" applyAlignment="1">
      <alignment horizontal="center"/>
    </xf>
    <xf numFmtId="167" fontId="60" fillId="0" borderId="35" xfId="0" applyNumberFormat="1" applyFont="1" applyBorder="1" applyAlignment="1">
      <alignment horizontal="center"/>
    </xf>
    <xf numFmtId="167" fontId="60" fillId="0" borderId="37" xfId="0" applyNumberFormat="1" applyFont="1" applyBorder="1" applyAlignment="1">
      <alignment horizontal="center"/>
    </xf>
    <xf numFmtId="43" fontId="60" fillId="0" borderId="37" xfId="40" applyFont="1" applyBorder="1" applyAlignment="1">
      <alignment horizontal="center"/>
    </xf>
    <xf numFmtId="43" fontId="60" fillId="0" borderId="36" xfId="40" applyFont="1" applyBorder="1" applyAlignment="1">
      <alignment horizontal="center"/>
    </xf>
    <xf numFmtId="167" fontId="0" fillId="0" borderId="38" xfId="0" applyNumberFormat="1" applyFill="1" applyBorder="1" applyAlignment="1">
      <alignment horizontal="center"/>
    </xf>
    <xf numFmtId="43" fontId="0" fillId="0" borderId="39" xfId="40" applyFont="1" applyFill="1" applyBorder="1" applyAlignment="1">
      <alignment horizontal="center"/>
    </xf>
    <xf numFmtId="170" fontId="0" fillId="0" borderId="46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38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43" fontId="0" fillId="0" borderId="51" xfId="40" applyFont="1" applyFill="1" applyBorder="1" applyAlignment="1">
      <alignment/>
    </xf>
    <xf numFmtId="43" fontId="0" fillId="0" borderId="52" xfId="40" applyFont="1" applyFill="1" applyBorder="1" applyAlignment="1">
      <alignment/>
    </xf>
    <xf numFmtId="0" fontId="2" fillId="44" borderId="53" xfId="0" applyFont="1" applyFill="1" applyBorder="1" applyAlignment="1">
      <alignment horizontal="center"/>
    </xf>
    <xf numFmtId="0" fontId="2" fillId="44" borderId="54" xfId="0" applyFont="1" applyFill="1" applyBorder="1" applyAlignment="1">
      <alignment horizontal="center"/>
    </xf>
    <xf numFmtId="0" fontId="2" fillId="44" borderId="55" xfId="0" applyFont="1" applyFill="1" applyBorder="1" applyAlignment="1">
      <alignment horizontal="center" vertical="center"/>
    </xf>
    <xf numFmtId="0" fontId="0" fillId="46" borderId="33" xfId="0" applyFont="1" applyFill="1" applyBorder="1" applyAlignment="1">
      <alignment horizontal="center"/>
    </xf>
    <xf numFmtId="165" fontId="61" fillId="35" borderId="15" xfId="40" applyNumberFormat="1" applyFont="1" applyFill="1" applyBorder="1" applyAlignment="1">
      <alignment horizontal="left" vertical="center" wrapText="1"/>
    </xf>
    <xf numFmtId="165" fontId="61" fillId="35" borderId="23" xfId="40" applyNumberFormat="1" applyFont="1" applyFill="1" applyBorder="1" applyAlignment="1">
      <alignment horizontal="left" vertical="center" wrapText="1"/>
    </xf>
    <xf numFmtId="165" fontId="61" fillId="35" borderId="31" xfId="40" applyNumberFormat="1" applyFont="1" applyFill="1" applyBorder="1" applyAlignment="1">
      <alignment horizontal="left" vertical="center" wrapText="1"/>
    </xf>
    <xf numFmtId="0" fontId="2" fillId="44" borderId="33" xfId="0" applyFont="1" applyFill="1" applyBorder="1" applyAlignment="1">
      <alignment horizontal="center" vertical="center" wrapText="1"/>
    </xf>
    <xf numFmtId="10" fontId="0" fillId="46" borderId="33" xfId="64" applyNumberFormat="1" applyFont="1" applyFill="1" applyBorder="1" applyAlignment="1">
      <alignment horizontal="center"/>
    </xf>
    <xf numFmtId="0" fontId="62" fillId="0" borderId="0" xfId="43" applyFont="1" applyBorder="1" applyAlignment="1">
      <alignment horizontal="left" vertical="center"/>
    </xf>
    <xf numFmtId="0" fontId="4" fillId="44" borderId="0" xfId="0" applyFont="1" applyFill="1" applyBorder="1" applyAlignment="1">
      <alignment horizontal="left" vertical="center"/>
    </xf>
    <xf numFmtId="49" fontId="58" fillId="0" borderId="56" xfId="56" applyNumberFormat="1" applyFont="1" applyBorder="1" applyAlignment="1">
      <alignment horizontal="center" vertical="center" wrapText="1"/>
      <protection/>
    </xf>
    <xf numFmtId="49" fontId="58" fillId="0" borderId="57" xfId="56" applyNumberFormat="1" applyFont="1" applyBorder="1" applyAlignment="1">
      <alignment horizontal="center" vertical="center" wrapText="1"/>
      <protection/>
    </xf>
    <xf numFmtId="49" fontId="63" fillId="0" borderId="0" xfId="56" applyNumberFormat="1" applyFont="1" applyAlignment="1">
      <alignment horizontal="center" vertical="top"/>
      <protection/>
    </xf>
    <xf numFmtId="49" fontId="64" fillId="0" borderId="0" xfId="56" applyNumberFormat="1" applyFont="1" applyAlignment="1">
      <alignment horizontal="center" vertical="top"/>
      <protection/>
    </xf>
    <xf numFmtId="49" fontId="65" fillId="0" borderId="58" xfId="56" applyNumberFormat="1" applyFont="1" applyBorder="1" applyAlignment="1">
      <alignment horizontal="right" vertical="top"/>
      <protection/>
    </xf>
    <xf numFmtId="49" fontId="58" fillId="0" borderId="59" xfId="56" applyNumberFormat="1" applyFont="1" applyBorder="1" applyAlignment="1">
      <alignment horizontal="center" vertical="center"/>
      <protection/>
    </xf>
    <xf numFmtId="49" fontId="58" fillId="0" borderId="60" xfId="56" applyNumberFormat="1" applyFont="1" applyBorder="1" applyAlignment="1">
      <alignment horizontal="center" vertical="center"/>
      <protection/>
    </xf>
    <xf numFmtId="49" fontId="58" fillId="0" borderId="61" xfId="56" applyNumberFormat="1" applyFont="1" applyBorder="1" applyAlignment="1">
      <alignment horizontal="center" vertical="center"/>
      <protection/>
    </xf>
    <xf numFmtId="0" fontId="0" fillId="0" borderId="40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2" fillId="44" borderId="49" xfId="0" applyFont="1" applyFill="1" applyBorder="1" applyAlignment="1">
      <alignment horizontal="center"/>
    </xf>
    <xf numFmtId="0" fontId="2" fillId="44" borderId="63" xfId="0" applyFont="1" applyFill="1" applyBorder="1" applyAlignment="1">
      <alignment horizontal="center"/>
    </xf>
    <xf numFmtId="0" fontId="2" fillId="44" borderId="64" xfId="0" applyFont="1" applyFill="1" applyBorder="1" applyAlignment="1">
      <alignment horizontal="center"/>
    </xf>
    <xf numFmtId="165" fontId="0" fillId="0" borderId="65" xfId="0" applyNumberFormat="1" applyFont="1" applyBorder="1" applyAlignment="1">
      <alignment horizontal="center" vertical="center"/>
    </xf>
    <xf numFmtId="165" fontId="0" fillId="0" borderId="66" xfId="0" applyNumberFormat="1" applyFont="1" applyBorder="1" applyAlignment="1">
      <alignment horizontal="center" vertical="center"/>
    </xf>
    <xf numFmtId="165" fontId="0" fillId="0" borderId="48" xfId="0" applyNumberFormat="1" applyFont="1" applyBorder="1" applyAlignment="1">
      <alignment horizontal="center" vertical="center"/>
    </xf>
    <xf numFmtId="0" fontId="2" fillId="44" borderId="67" xfId="0" applyFont="1" applyFill="1" applyBorder="1" applyAlignment="1">
      <alignment horizontal="center"/>
    </xf>
    <xf numFmtId="0" fontId="2" fillId="44" borderId="68" xfId="0" applyFont="1" applyFill="1" applyBorder="1" applyAlignment="1">
      <alignment horizontal="center"/>
    </xf>
    <xf numFmtId="167" fontId="0" fillId="46" borderId="69" xfId="0" applyNumberFormat="1" applyFill="1" applyBorder="1" applyAlignment="1">
      <alignment horizontal="center" vertical="center"/>
    </xf>
    <xf numFmtId="167" fontId="0" fillId="46" borderId="70" xfId="0" applyNumberFormat="1" applyFill="1" applyBorder="1" applyAlignment="1">
      <alignment horizontal="center" vertical="center"/>
    </xf>
    <xf numFmtId="167" fontId="0" fillId="46" borderId="65" xfId="0" applyNumberFormat="1" applyFill="1" applyBorder="1" applyAlignment="1">
      <alignment horizontal="center" vertical="center"/>
    </xf>
    <xf numFmtId="167" fontId="0" fillId="46" borderId="48" xfId="0" applyNumberFormat="1" applyFill="1" applyBorder="1" applyAlignment="1">
      <alignment horizontal="center" vertical="center"/>
    </xf>
    <xf numFmtId="167" fontId="0" fillId="46" borderId="0" xfId="0" applyNumberFormat="1" applyFill="1" applyBorder="1" applyAlignment="1">
      <alignment horizontal="center" vertical="center"/>
    </xf>
    <xf numFmtId="167" fontId="0" fillId="46" borderId="66" xfId="0" applyNumberFormat="1" applyFill="1" applyBorder="1" applyAlignment="1">
      <alignment horizontal="center" vertical="center"/>
    </xf>
    <xf numFmtId="0" fontId="2" fillId="44" borderId="45" xfId="0" applyFont="1" applyFill="1" applyBorder="1" applyAlignment="1">
      <alignment horizontal="center" vertical="center"/>
    </xf>
    <xf numFmtId="0" fontId="2" fillId="44" borderId="69" xfId="0" applyFont="1" applyFill="1" applyBorder="1" applyAlignment="1">
      <alignment horizontal="center" vertical="center"/>
    </xf>
    <xf numFmtId="0" fontId="2" fillId="44" borderId="65" xfId="0" applyFont="1" applyFill="1" applyBorder="1" applyAlignment="1">
      <alignment horizontal="center" vertical="center"/>
    </xf>
    <xf numFmtId="0" fontId="2" fillId="44" borderId="67" xfId="0" applyFont="1" applyFill="1" applyBorder="1" applyAlignment="1">
      <alignment horizontal="center" vertical="center"/>
    </xf>
    <xf numFmtId="0" fontId="2" fillId="44" borderId="71" xfId="0" applyFont="1" applyFill="1" applyBorder="1" applyAlignment="1">
      <alignment horizontal="center" vertical="center"/>
    </xf>
    <xf numFmtId="43" fontId="0" fillId="46" borderId="69" xfId="0" applyNumberFormat="1" applyFill="1" applyBorder="1" applyAlignment="1">
      <alignment horizontal="center" vertical="center"/>
    </xf>
    <xf numFmtId="43" fontId="0" fillId="46" borderId="0" xfId="0" applyNumberFormat="1" applyFill="1" applyBorder="1" applyAlignment="1">
      <alignment horizontal="center" vertical="center"/>
    </xf>
    <xf numFmtId="43" fontId="0" fillId="46" borderId="70" xfId="0" applyNumberFormat="1" applyFill="1" applyBorder="1" applyAlignment="1">
      <alignment horizontal="center" vertical="center"/>
    </xf>
    <xf numFmtId="43" fontId="0" fillId="46" borderId="65" xfId="0" applyNumberFormat="1" applyFill="1" applyBorder="1" applyAlignment="1">
      <alignment horizontal="center" vertical="center"/>
    </xf>
    <xf numFmtId="43" fontId="0" fillId="46" borderId="66" xfId="0" applyNumberFormat="1" applyFill="1" applyBorder="1" applyAlignment="1">
      <alignment horizontal="center" vertical="center"/>
    </xf>
    <xf numFmtId="43" fontId="0" fillId="46" borderId="48" xfId="0" applyNumberFormat="1" applyFill="1" applyBorder="1" applyAlignment="1">
      <alignment horizontal="center" vertical="center"/>
    </xf>
    <xf numFmtId="0" fontId="2" fillId="44" borderId="49" xfId="0" applyFont="1" applyFill="1" applyBorder="1" applyAlignment="1">
      <alignment horizontal="center" vertical="center"/>
    </xf>
    <xf numFmtId="0" fontId="2" fillId="44" borderId="63" xfId="0" applyFont="1" applyFill="1" applyBorder="1" applyAlignment="1">
      <alignment horizontal="center" vertical="center"/>
    </xf>
    <xf numFmtId="0" fontId="2" fillId="44" borderId="64" xfId="0" applyFont="1" applyFill="1" applyBorder="1" applyAlignment="1">
      <alignment horizontal="center" vertical="center"/>
    </xf>
    <xf numFmtId="0" fontId="2" fillId="44" borderId="72" xfId="0" applyFont="1" applyFill="1" applyBorder="1" applyAlignment="1">
      <alignment horizontal="center" vertical="center"/>
    </xf>
    <xf numFmtId="0" fontId="2" fillId="44" borderId="45" xfId="0" applyFont="1" applyFill="1" applyBorder="1" applyAlignment="1">
      <alignment horizontal="center"/>
    </xf>
    <xf numFmtId="0" fontId="2" fillId="44" borderId="65" xfId="0" applyFont="1" applyFill="1" applyBorder="1" applyAlignment="1">
      <alignment horizontal="center"/>
    </xf>
    <xf numFmtId="0" fontId="2" fillId="44" borderId="73" xfId="0" applyFont="1" applyFill="1" applyBorder="1" applyAlignment="1">
      <alignment horizontal="center" vertical="center"/>
    </xf>
    <xf numFmtId="0" fontId="2" fillId="44" borderId="74" xfId="0" applyFont="1" applyFill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6</xdr:col>
      <xdr:colOff>0</xdr:colOff>
      <xdr:row>0</xdr:row>
      <xdr:rowOff>1190625</xdr:rowOff>
    </xdr:to>
    <xdr:sp>
      <xdr:nvSpPr>
        <xdr:cNvPr id="1" name="Szövegdoboz 2"/>
        <xdr:cNvSpPr txBox="1">
          <a:spLocks noChangeArrowheads="1"/>
        </xdr:cNvSpPr>
      </xdr:nvSpPr>
      <xdr:spPr>
        <a:xfrm>
          <a:off x="28575" y="28575"/>
          <a:ext cx="797242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példa: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Vállalati hitel, negyedéves amortizáció, negyedéves kamatfixálás, fix kamatfelár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változó kamatozású instrumentumok az első átárazódás előtt a fix kamatozású instrumentumokkal azonos módon jelentendők. Az átárazódáskor a fennálló tőketartozás összegét kell jelenteni, ezt követően a kamatfizetéseknek a csak felár komponense jelentendő a szerződéses lejáratig.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228600</xdr:colOff>
      <xdr:row>20</xdr:row>
      <xdr:rowOff>47625</xdr:rowOff>
    </xdr:from>
    <xdr:to>
      <xdr:col>6</xdr:col>
      <xdr:colOff>0</xdr:colOff>
      <xdr:row>24</xdr:row>
      <xdr:rowOff>9525</xdr:rowOff>
    </xdr:to>
    <xdr:sp>
      <xdr:nvSpPr>
        <xdr:cNvPr id="2" name="Felirat: íves vonal 9"/>
        <xdr:cNvSpPr>
          <a:spLocks/>
        </xdr:cNvSpPr>
      </xdr:nvSpPr>
      <xdr:spPr>
        <a:xfrm>
          <a:off x="5467350" y="5000625"/>
          <a:ext cx="2533650" cy="609600"/>
        </a:xfrm>
        <a:prstGeom prst="borderCallout2">
          <a:avLst>
            <a:gd name="adj1" fmla="val -102453"/>
            <a:gd name="adj2" fmla="val 267023"/>
            <a:gd name="adj3" fmla="val -75134"/>
            <a:gd name="adj4" fmla="val 6250"/>
            <a:gd name="adj5" fmla="val -55106"/>
            <a:gd name="adj6" fmla="val 6250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Megj.: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jövőbeni kamatfizetéseknél (az első, ismert kivételével) már csak a kamatfelár komponens számolódik!</a:t>
          </a:r>
        </a:p>
      </xdr:txBody>
    </xdr:sp>
    <xdr:clientData/>
  </xdr:twoCellAnchor>
  <xdr:twoCellAnchor>
    <xdr:from>
      <xdr:col>7</xdr:col>
      <xdr:colOff>571500</xdr:colOff>
      <xdr:row>0</xdr:row>
      <xdr:rowOff>571500</xdr:rowOff>
    </xdr:from>
    <xdr:to>
      <xdr:col>8</xdr:col>
      <xdr:colOff>1057275</xdr:colOff>
      <xdr:row>0</xdr:row>
      <xdr:rowOff>1143000</xdr:rowOff>
    </xdr:to>
    <xdr:sp>
      <xdr:nvSpPr>
        <xdr:cNvPr id="3" name="Felirat: íves vonal 9"/>
        <xdr:cNvSpPr>
          <a:spLocks/>
        </xdr:cNvSpPr>
      </xdr:nvSpPr>
      <xdr:spPr>
        <a:xfrm>
          <a:off x="9982200" y="571500"/>
          <a:ext cx="2533650" cy="571500"/>
        </a:xfrm>
        <a:prstGeom prst="borderCallout2">
          <a:avLst>
            <a:gd name="adj1" fmla="val -86569"/>
            <a:gd name="adj2" fmla="val 268912"/>
            <a:gd name="adj3" fmla="val -67189"/>
            <a:gd name="adj4" fmla="val 6250"/>
            <a:gd name="adj5" fmla="val -55106"/>
            <a:gd name="adj6" fmla="val 6250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Megj.: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Az átárazódás uitán fennálló tőketartozás (37.5M) és a 3. hónapban történő tőketörlesztés (2.5M) összege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9</xdr:col>
      <xdr:colOff>0</xdr:colOff>
      <xdr:row>0</xdr:row>
      <xdr:rowOff>971550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" y="19050"/>
          <a:ext cx="108966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példa: Lakossági jelzáloghitel, ötéves kamatperiódussal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változó kamatozású instrumentumok az első átárazódás előtt a fix kamatozású instrumentumokkal azonos módon jelentendők. A referenciakamat és egy konstans szorzatához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kötött kamatozású termék feláraként a képletben szereplő felárat kell jelenteni (pl. ÁKK * 130% + 0% esetén 0%-ot).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Az átárazódáskor a fennálló tőketartozás összegét kell jelenteni, ezt követően a kamatfizetéseknek a csak felár komponense jelentendő a szerződéses lejáratig.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419100</xdr:colOff>
      <xdr:row>28</xdr:row>
      <xdr:rowOff>76200</xdr:rowOff>
    </xdr:from>
    <xdr:to>
      <xdr:col>7</xdr:col>
      <xdr:colOff>590550</xdr:colOff>
      <xdr:row>32</xdr:row>
      <xdr:rowOff>19050</xdr:rowOff>
    </xdr:to>
    <xdr:sp>
      <xdr:nvSpPr>
        <xdr:cNvPr id="2" name="Callout: Bent Line 3"/>
        <xdr:cNvSpPr>
          <a:spLocks/>
        </xdr:cNvSpPr>
      </xdr:nvSpPr>
      <xdr:spPr>
        <a:xfrm>
          <a:off x="3200400" y="6038850"/>
          <a:ext cx="5467350" cy="590550"/>
        </a:xfrm>
        <a:prstGeom prst="borderCallout2">
          <a:avLst>
            <a:gd name="adj1" fmla="val -65949"/>
            <a:gd name="adj2" fmla="val -24162"/>
            <a:gd name="adj3" fmla="val -59310"/>
            <a:gd name="adj4" fmla="val -24750"/>
            <a:gd name="adj5" fmla="val -51245"/>
            <a:gd name="adj6" fmla="val -24351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Megj.: Ez azt jelenti, hogy a kamat változásának mértéke az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adott futamidejű ÁKK referencia-állampapír hozamváltozásának bizonyos százaléka. Mivel nincs konstans kamatfelár, ezért itt 0-nak tekinthető, így jelen esetben az 5. év után nem szükséges kamatfizetést számolni.</a:t>
          </a:r>
        </a:p>
      </xdr:txBody>
    </xdr:sp>
    <xdr:clientData/>
  </xdr:twoCellAnchor>
  <xdr:twoCellAnchor>
    <xdr:from>
      <xdr:col>7</xdr:col>
      <xdr:colOff>1190625</xdr:colOff>
      <xdr:row>17</xdr:row>
      <xdr:rowOff>85725</xdr:rowOff>
    </xdr:from>
    <xdr:to>
      <xdr:col>10</xdr:col>
      <xdr:colOff>428625</xdr:colOff>
      <xdr:row>20</xdr:row>
      <xdr:rowOff>38100</xdr:rowOff>
    </xdr:to>
    <xdr:sp>
      <xdr:nvSpPr>
        <xdr:cNvPr id="3" name="Felirat: íves vonal 9"/>
        <xdr:cNvSpPr>
          <a:spLocks/>
        </xdr:cNvSpPr>
      </xdr:nvSpPr>
      <xdr:spPr>
        <a:xfrm>
          <a:off x="9267825" y="4248150"/>
          <a:ext cx="3228975" cy="438150"/>
        </a:xfrm>
        <a:prstGeom prst="borderCallout2">
          <a:avLst>
            <a:gd name="adj1" fmla="val -86893"/>
            <a:gd name="adj2" fmla="val 170949"/>
            <a:gd name="adj3" fmla="val -67189"/>
            <a:gd name="adj4" fmla="val 6250"/>
            <a:gd name="adj5" fmla="val -55106"/>
            <a:gd name="adj6" fmla="val 6250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Megj.: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Az átárazódás uitán fennálló tőketartozás és az adott lejárati sávba eső tőketörlesztések összege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41</xdr:row>
      <xdr:rowOff>66675</xdr:rowOff>
    </xdr:from>
    <xdr:to>
      <xdr:col>6</xdr:col>
      <xdr:colOff>819150</xdr:colOff>
      <xdr:row>42</xdr:row>
      <xdr:rowOff>114300</xdr:rowOff>
    </xdr:to>
    <xdr:sp>
      <xdr:nvSpPr>
        <xdr:cNvPr id="1" name="Callout: Bent Line 1"/>
        <xdr:cNvSpPr>
          <a:spLocks/>
        </xdr:cNvSpPr>
      </xdr:nvSpPr>
      <xdr:spPr>
        <a:xfrm>
          <a:off x="3200400" y="8124825"/>
          <a:ext cx="5143500" cy="400050"/>
        </a:xfrm>
        <a:prstGeom prst="borderCallout2">
          <a:avLst>
            <a:gd name="adj1" fmla="val -65949"/>
            <a:gd name="adj2" fmla="val -24162"/>
            <a:gd name="adj3" fmla="val -59310"/>
            <a:gd name="adj4" fmla="val -24750"/>
            <a:gd name="adj5" fmla="val -51245"/>
            <a:gd name="adj6" fmla="val -24351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Megj.: 100% PSA:  https://en.wikipedia.org/wiki/PSA_prepayment_model
Minden bank természetesen a saját előtörlesztési modelljét használja. 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9</xdr:col>
      <xdr:colOff>0</xdr:colOff>
      <xdr:row>0</xdr:row>
      <xdr:rowOff>952500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19050"/>
          <a:ext cx="12125325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példa: Lakossági jelzáloghitel, fix kamatozású,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előtörlesztési modellezéssel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Mivel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előtörlesztési modellezett termékről van szó, ezért mind a modellezett pénzáramlást/átárazódást, mind a modellezett termékek eredeti (szerződéses) pénzáramlást/átárazódást szükséges bemutatni.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lentebb szereplő előtörlesztési modellezés csak példaként szolgál, minden bank a saját előtörlesztési modelljét hivatott használni.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7</xdr:col>
      <xdr:colOff>2305050</xdr:colOff>
      <xdr:row>0</xdr:row>
      <xdr:rowOff>2552700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28575" y="38100"/>
          <a:ext cx="1182052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példa: Lakossági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látra szóló betétállomány (modellezett)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Az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olyan instrumentumoknál, ahol az adatszolgáltatónak lehetősége van egyoldalúan megváltoztatni a kamatot, szerződéses tekintetben a legkorábbi ilyen időpont tekintendő az első átárazódás időpontjának, és a továbbiakban a változó kamatozású instrumentumoknál ismertetett módon kell eljárni. Azokat a tételeket, melyekhez átárazási periódust a szerződés nem köt ki, és az adatszolgáltató a kamatmozgásoknak megfelelően szabadon változtathatja a kamatlábat, az 1-30 napos oszlopba kell besorolni.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modellezett állomány a m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odellezett pénzáramlások/átárazódások oszlopban, külön tőke- és külön kamatösszeggel, míg a nem modellezett állomány a szerződés szerinti pénzáramlás/átárazódás összegénél (csak tőkeösszeg) kerüljön feltüntetésre. A modellezett termékek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eredeti (szerződéses) pénzáramlásának (átárazódásának) összege oszlopba szintén csak a szerződéses tőkeösszeg kerül.
A lejárat nélküli betétek esetén megkülőnböztetendőek a lakossági, vállalati, hitelintézeti és egyéb ügyfelektől származó betétek (ld. termékkódok).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Az alábbi példa esetén feltettük, hogy egy bank rendelkezik 150M HUF lakossági látra szóló betétállománnyal, amelyből 50M non-core, azaz gyors átárazódású (pl. alapkamathoz kötött betétek), míg 100M HUF core állománynak tekinthető, így a bank által modellezett.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Mivel a bankok eltérő módszertannal és granularitással modellezik látra szóló betétállományukat, ezért a "Modellezett pénzáramlás (átárazódás) összege" oszlopban szereplő értékek részletes levezése nem kerül bemutatásra, mivel az nem lenne tekinthető egy követendő eljárásnak. Minden bank a saját modellezési módszertanát hivatott használni. A modellezett állományokra kamat cash flow-t is szükséges számolni, és eredményét feltüntetni a táblázatban.</a:t>
          </a:r>
        </a:p>
      </xdr:txBody>
    </xdr:sp>
    <xdr:clientData/>
  </xdr:twoCellAnchor>
  <xdr:twoCellAnchor>
    <xdr:from>
      <xdr:col>6</xdr:col>
      <xdr:colOff>1000125</xdr:colOff>
      <xdr:row>5</xdr:row>
      <xdr:rowOff>123825</xdr:rowOff>
    </xdr:from>
    <xdr:to>
      <xdr:col>8</xdr:col>
      <xdr:colOff>304800</xdr:colOff>
      <xdr:row>8</xdr:row>
      <xdr:rowOff>66675</xdr:rowOff>
    </xdr:to>
    <xdr:sp>
      <xdr:nvSpPr>
        <xdr:cNvPr id="2" name="Felirat: íves vonal 9"/>
        <xdr:cNvSpPr>
          <a:spLocks/>
        </xdr:cNvSpPr>
      </xdr:nvSpPr>
      <xdr:spPr>
        <a:xfrm>
          <a:off x="8543925" y="3867150"/>
          <a:ext cx="3619500" cy="428625"/>
        </a:xfrm>
        <a:prstGeom prst="borderCallout2">
          <a:avLst>
            <a:gd name="adj1" fmla="val -79680"/>
            <a:gd name="adj2" fmla="val -88509"/>
            <a:gd name="adj3" fmla="val -66856"/>
            <a:gd name="adj4" fmla="val 847"/>
            <a:gd name="adj5" fmla="val -51995"/>
            <a:gd name="adj6" fmla="val 3546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Megj.: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Ebbe a lejárati sávba kerül az 50M non-core állomány is, amely tulajdonképpen ON-ként van "modellezve".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8</xdr:col>
      <xdr:colOff>19050</xdr:colOff>
      <xdr:row>0</xdr:row>
      <xdr:rowOff>628650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0" y="38100"/>
          <a:ext cx="110299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példa: IRS ügylet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derivatívákat követelés és kötelezettség lábakra kell bontani, és ennek megfelelően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szerepeltetni a táblázatban.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7</xdr:col>
      <xdr:colOff>2238375</xdr:colOff>
      <xdr:row>0</xdr:row>
      <xdr:rowOff>1190625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0" y="47625"/>
          <a:ext cx="1102995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példa: CCIRS ügylet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(bázis swap)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derivatívákat követelés és kötelezettség lábakra kell bontani, és ennek megfelelően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szerepeltetni a táblázatban.
A példában szerplő CCIRS ügylet egy bézis swap: két változó kamat kerül cserére. Ezen ügyleteknél tényleges névérték-csere történik, így ezt is szerepeltetni kell. A változó lábaknál a fennálló tőkeösszeget a következő átárazódás időpontjánál kell feltüntetni.
Fontos, hogy adott napi MNB középárfolyamon forintosított, előjeles összegek kerüljenek feltüntetésre a táblázat megfelelő soraiban.</a:t>
          </a:r>
        </a:p>
      </xdr:txBody>
    </xdr:sp>
    <xdr:clientData/>
  </xdr:twoCellAnchor>
  <xdr:twoCellAnchor>
    <xdr:from>
      <xdr:col>3</xdr:col>
      <xdr:colOff>809625</xdr:colOff>
      <xdr:row>22</xdr:row>
      <xdr:rowOff>76200</xdr:rowOff>
    </xdr:from>
    <xdr:to>
      <xdr:col>5</xdr:col>
      <xdr:colOff>876300</xdr:colOff>
      <xdr:row>25</xdr:row>
      <xdr:rowOff>9525</xdr:rowOff>
    </xdr:to>
    <xdr:sp>
      <xdr:nvSpPr>
        <xdr:cNvPr id="2" name="Felirat: íves vonal 2"/>
        <xdr:cNvSpPr>
          <a:spLocks/>
        </xdr:cNvSpPr>
      </xdr:nvSpPr>
      <xdr:spPr>
        <a:xfrm>
          <a:off x="3962400" y="5124450"/>
          <a:ext cx="2095500" cy="438150"/>
        </a:xfrm>
        <a:prstGeom prst="borderCallout2">
          <a:avLst>
            <a:gd name="adj1" fmla="val -92518"/>
            <a:gd name="adj2" fmla="val 95277"/>
            <a:gd name="adj3" fmla="val -74328"/>
            <a:gd name="adj4" fmla="val -19805"/>
            <a:gd name="adj5" fmla="val -55060"/>
            <a:gd name="adj6" fmla="val -2034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Megj.: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Ezek már szintén csak a kamatfelár komponensek.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9"/>
  <sheetViews>
    <sheetView tabSelected="1" zoomScalePageLayoutView="0" workbookViewId="0" topLeftCell="A1">
      <selection activeCell="A1" sqref="A1:D2"/>
    </sheetView>
  </sheetViews>
  <sheetFormatPr defaultColWidth="9.140625" defaultRowHeight="12.75"/>
  <cols>
    <col min="1" max="1" width="36.421875" style="47" customWidth="1"/>
    <col min="2" max="3" width="9.140625" style="47" customWidth="1"/>
    <col min="4" max="4" width="26.00390625" style="47" customWidth="1"/>
    <col min="5" max="16384" width="9.140625" style="47" customWidth="1"/>
  </cols>
  <sheetData>
    <row r="1" spans="1:4" ht="23.25" customHeight="1">
      <c r="A1" s="196" t="s">
        <v>87</v>
      </c>
      <c r="B1" s="196"/>
      <c r="C1" s="196"/>
      <c r="D1" s="196"/>
    </row>
    <row r="2" spans="1:4" ht="23.25" customHeight="1">
      <c r="A2" s="196"/>
      <c r="B2" s="196"/>
      <c r="C2" s="196"/>
      <c r="D2" s="196"/>
    </row>
    <row r="3" spans="1:4" ht="22.5" customHeight="1">
      <c r="A3" s="195" t="s">
        <v>136</v>
      </c>
      <c r="B3" s="195"/>
      <c r="C3" s="195"/>
      <c r="D3" s="195"/>
    </row>
    <row r="4" spans="1:4" ht="22.5" customHeight="1">
      <c r="A4" s="195" t="s">
        <v>86</v>
      </c>
      <c r="B4" s="195"/>
      <c r="C4" s="195"/>
      <c r="D4" s="195"/>
    </row>
    <row r="5" spans="1:4" ht="22.5" customHeight="1">
      <c r="A5" s="195" t="s">
        <v>127</v>
      </c>
      <c r="B5" s="195"/>
      <c r="C5" s="195"/>
      <c r="D5" s="195"/>
    </row>
    <row r="6" spans="1:4" ht="22.5" customHeight="1">
      <c r="A6" s="195" t="s">
        <v>128</v>
      </c>
      <c r="B6" s="195"/>
      <c r="C6" s="195"/>
      <c r="D6" s="195"/>
    </row>
    <row r="7" spans="1:4" ht="22.5" customHeight="1">
      <c r="A7" s="195" t="s">
        <v>126</v>
      </c>
      <c r="B7" s="195"/>
      <c r="C7" s="195"/>
      <c r="D7" s="195"/>
    </row>
    <row r="8" spans="1:4" ht="22.5" customHeight="1">
      <c r="A8" s="195" t="s">
        <v>134</v>
      </c>
      <c r="B8" s="195"/>
      <c r="C8" s="195"/>
      <c r="D8" s="195"/>
    </row>
    <row r="9" spans="1:4" ht="22.5" customHeight="1">
      <c r="A9" s="195" t="s">
        <v>135</v>
      </c>
      <c r="B9" s="195"/>
      <c r="C9" s="195"/>
      <c r="D9" s="195"/>
    </row>
  </sheetData>
  <sheetProtection/>
  <mergeCells count="8">
    <mergeCell ref="A1:D2"/>
    <mergeCell ref="A7:D7"/>
    <mergeCell ref="A8:D8"/>
    <mergeCell ref="A9:D9"/>
    <mergeCell ref="A3:D3"/>
    <mergeCell ref="A4:D4"/>
    <mergeCell ref="A5:D5"/>
    <mergeCell ref="A6:D6"/>
  </mergeCells>
  <hyperlinks>
    <hyperlink ref="A4" location="'1_corp_loan'!A1" display="1. példa: Vállalati hitel"/>
    <hyperlink ref="A5" location="'2_mortg_prep'!A1" display="2. példa: Lakossági jelzáloghitel, előtörlesztési modellezéssel"/>
    <hyperlink ref="A7" location="'3_retail_nmd'!A1" display="3. példa: Modellezett látra szóló betét (lakossági)"/>
    <hyperlink ref="A3" location="'9R1'!A1" display="9R1 tábla felépítése"/>
    <hyperlink ref="A6" location="'2_mortg_prep'!A1" display="2. példa: Lakossági jelzáloghitel, előtörlesztési modellezéssel"/>
    <hyperlink ref="A6:D6" location="'3_mortg_prep'!A1" display="3. példa: Lakossági fix jelzáloghitel, előtörlesztési modellezéssel"/>
    <hyperlink ref="A7:D7" location="'4_retail_nmd'!A1" display="4. példa: Modellezett látra szóló betét (lakossági)"/>
    <hyperlink ref="A9:D9" location="'6_CCIRS'!A1" display="6. példa: CCIRS"/>
    <hyperlink ref="A8:D8" location="'5_IRS'!A1" display="5. példa: Kamatcsereügylet"/>
    <hyperlink ref="A5:D5" location="'2_mortg_float'!A1" display="2. példa: Lakossági jelzáloghitel, 5 éves kamatperiódu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L21"/>
  <sheetViews>
    <sheetView zoomScale="85" zoomScaleNormal="85" zoomScalePageLayoutView="0" workbookViewId="0" topLeftCell="C1">
      <selection activeCell="D4" sqref="D4"/>
    </sheetView>
  </sheetViews>
  <sheetFormatPr defaultColWidth="9.140625" defaultRowHeight="12.75"/>
  <cols>
    <col min="1" max="1" width="9.421875" style="1" bestFit="1" customWidth="1"/>
    <col min="2" max="2" width="11.8515625" style="1" customWidth="1"/>
    <col min="3" max="3" width="13.140625" style="1" bestFit="1" customWidth="1"/>
    <col min="4" max="4" width="11.28125" style="1" bestFit="1" customWidth="1"/>
    <col min="5" max="5" width="12.140625" style="1" bestFit="1" customWidth="1"/>
    <col min="6" max="6" width="17.8515625" style="1" bestFit="1" customWidth="1"/>
    <col min="7" max="7" width="20.140625" style="1" customWidth="1"/>
    <col min="8" max="8" width="16.00390625" style="1" customWidth="1"/>
    <col min="9" max="9" width="30.140625" style="1" customWidth="1"/>
    <col min="10" max="10" width="32.7109375" style="1" customWidth="1"/>
    <col min="11" max="11" width="45.28125" style="1" customWidth="1"/>
    <col min="12" max="12" width="6.140625" style="1" customWidth="1"/>
    <col min="13" max="16384" width="9.140625" style="1" customWidth="1"/>
  </cols>
  <sheetData>
    <row r="1" spans="1:12" ht="20.25">
      <c r="A1" s="199" t="s">
        <v>23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5.75">
      <c r="A2" s="200" t="s">
        <v>39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14.25" thickBot="1">
      <c r="A3" s="201" t="s">
        <v>22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2" ht="27" thickBot="1" thickTop="1">
      <c r="A4" s="202" t="s">
        <v>37</v>
      </c>
      <c r="B4" s="202" t="s">
        <v>21</v>
      </c>
      <c r="C4" s="202" t="s">
        <v>20</v>
      </c>
      <c r="D4" s="58" t="s">
        <v>19</v>
      </c>
      <c r="E4" s="58" t="s">
        <v>18</v>
      </c>
      <c r="F4" s="58" t="s">
        <v>17</v>
      </c>
      <c r="G4" s="25" t="s">
        <v>16</v>
      </c>
      <c r="H4" s="25" t="s">
        <v>15</v>
      </c>
      <c r="I4" s="25" t="s">
        <v>14</v>
      </c>
      <c r="J4" s="25" t="s">
        <v>13</v>
      </c>
      <c r="K4" s="25" t="s">
        <v>12</v>
      </c>
      <c r="L4" s="25" t="s">
        <v>11</v>
      </c>
    </row>
    <row r="5" spans="1:12" ht="14.25" thickBot="1" thickTop="1">
      <c r="A5" s="203"/>
      <c r="B5" s="203"/>
      <c r="C5" s="203"/>
      <c r="D5" s="25">
        <v>1</v>
      </c>
      <c r="E5" s="25">
        <v>2</v>
      </c>
      <c r="F5" s="25">
        <v>3</v>
      </c>
      <c r="G5" s="25">
        <v>4</v>
      </c>
      <c r="H5" s="25">
        <v>5</v>
      </c>
      <c r="I5" s="25">
        <v>6</v>
      </c>
      <c r="J5" s="25">
        <v>7</v>
      </c>
      <c r="K5" s="25">
        <v>8</v>
      </c>
      <c r="L5" s="25">
        <v>9</v>
      </c>
    </row>
    <row r="6" spans="1:12" ht="14.25" thickBot="1" thickTop="1">
      <c r="A6" s="204"/>
      <c r="B6" s="204"/>
      <c r="C6" s="204"/>
      <c r="D6" s="25" t="s">
        <v>10</v>
      </c>
      <c r="E6" s="25" t="s">
        <v>9</v>
      </c>
      <c r="F6" s="25" t="s">
        <v>8</v>
      </c>
      <c r="G6" s="25" t="s">
        <v>7</v>
      </c>
      <c r="H6" s="25" t="s">
        <v>6</v>
      </c>
      <c r="I6" s="25" t="s">
        <v>5</v>
      </c>
      <c r="J6" s="25" t="s">
        <v>4</v>
      </c>
      <c r="K6" s="25" t="s">
        <v>3</v>
      </c>
      <c r="L6" s="25" t="s">
        <v>2</v>
      </c>
    </row>
    <row r="7" spans="1:12" ht="13.5" thickTop="1">
      <c r="A7" s="24">
        <v>1</v>
      </c>
      <c r="B7" s="23" t="s">
        <v>1</v>
      </c>
      <c r="C7" s="22"/>
      <c r="D7" s="32"/>
      <c r="E7" s="31"/>
      <c r="F7" s="31"/>
      <c r="G7" s="31"/>
      <c r="H7" s="31"/>
      <c r="I7" s="30"/>
      <c r="J7" s="30"/>
      <c r="K7" s="30"/>
      <c r="L7" s="21"/>
    </row>
    <row r="8" spans="1:12" ht="12.75">
      <c r="A8" s="19"/>
      <c r="B8" s="18" t="s">
        <v>38</v>
      </c>
      <c r="C8" s="4" t="s">
        <v>38</v>
      </c>
      <c r="D8" s="9"/>
      <c r="E8" s="29"/>
      <c r="F8" s="29"/>
      <c r="G8" s="29"/>
      <c r="H8" s="29"/>
      <c r="I8" s="20"/>
      <c r="J8" s="20"/>
      <c r="K8" s="20"/>
      <c r="L8" s="17"/>
    </row>
    <row r="9" spans="1:12" ht="13.5" thickBot="1">
      <c r="A9" s="16"/>
      <c r="B9" s="15" t="s">
        <v>0</v>
      </c>
      <c r="C9" s="2"/>
      <c r="D9" s="28"/>
      <c r="E9" s="27"/>
      <c r="F9" s="27"/>
      <c r="G9" s="27"/>
      <c r="H9" s="27"/>
      <c r="I9" s="26"/>
      <c r="J9" s="26"/>
      <c r="K9" s="26"/>
      <c r="L9" s="14"/>
    </row>
    <row r="10" ht="14.25" thickBot="1" thickTop="1"/>
    <row r="11" spans="2:3" ht="14.25" thickBot="1" thickTop="1">
      <c r="B11" s="197" t="s">
        <v>34</v>
      </c>
      <c r="C11" s="198"/>
    </row>
    <row r="12" spans="2:3" ht="13.5" thickTop="1">
      <c r="B12" s="13"/>
      <c r="C12" s="4" t="s">
        <v>33</v>
      </c>
    </row>
    <row r="13" spans="2:3" ht="12.75">
      <c r="B13" s="12"/>
      <c r="C13" s="4" t="s">
        <v>32</v>
      </c>
    </row>
    <row r="14" spans="2:3" ht="25.5">
      <c r="B14" s="11"/>
      <c r="C14" s="4" t="s">
        <v>31</v>
      </c>
    </row>
    <row r="15" spans="2:3" ht="25.5">
      <c r="B15" s="10"/>
      <c r="C15" s="4" t="s">
        <v>30</v>
      </c>
    </row>
    <row r="16" spans="2:3" ht="12.75">
      <c r="B16" s="9"/>
      <c r="C16" s="4" t="s">
        <v>29</v>
      </c>
    </row>
    <row r="17" spans="2:3" ht="12.75">
      <c r="B17" s="8"/>
      <c r="C17" s="4" t="s">
        <v>28</v>
      </c>
    </row>
    <row r="18" spans="2:3" ht="12.75">
      <c r="B18" s="7"/>
      <c r="C18" s="4" t="s">
        <v>27</v>
      </c>
    </row>
    <row r="19" spans="2:3" ht="12.75">
      <c r="B19" s="6"/>
      <c r="C19" s="4" t="s">
        <v>26</v>
      </c>
    </row>
    <row r="20" spans="2:3" ht="25.5">
      <c r="B20" s="5"/>
      <c r="C20" s="4" t="s">
        <v>25</v>
      </c>
    </row>
    <row r="21" spans="2:3" ht="26.25" thickBot="1">
      <c r="B21" s="3"/>
      <c r="C21" s="2" t="s">
        <v>24</v>
      </c>
    </row>
  </sheetData>
  <sheetProtection/>
  <mergeCells count="7">
    <mergeCell ref="B11:C11"/>
    <mergeCell ref="A1:L1"/>
    <mergeCell ref="A2:L2"/>
    <mergeCell ref="A3:L3"/>
    <mergeCell ref="A4:A6"/>
    <mergeCell ref="B4:B6"/>
    <mergeCell ref="C4:C6"/>
  </mergeCells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7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7.140625" style="47" customWidth="1"/>
    <col min="2" max="2" width="21.421875" style="47" bestFit="1" customWidth="1"/>
    <col min="3" max="3" width="24.421875" style="47" customWidth="1"/>
    <col min="4" max="4" width="15.57421875" style="47" bestFit="1" customWidth="1"/>
    <col min="5" max="5" width="19.421875" style="47" customWidth="1"/>
    <col min="6" max="6" width="22.00390625" style="47" customWidth="1"/>
    <col min="7" max="7" width="21.140625" style="47" customWidth="1"/>
    <col min="8" max="8" width="30.7109375" style="47" customWidth="1"/>
    <col min="9" max="9" width="21.421875" style="47" bestFit="1" customWidth="1"/>
    <col min="10" max="10" width="22.421875" style="47" customWidth="1"/>
    <col min="11" max="11" width="19.00390625" style="47" customWidth="1"/>
    <col min="12" max="12" width="6.28125" style="47" customWidth="1"/>
    <col min="13" max="16384" width="9.140625" style="47" customWidth="1"/>
  </cols>
  <sheetData>
    <row r="1" spans="8:10" ht="96" customHeight="1" thickBot="1">
      <c r="H1" s="63"/>
      <c r="J1" s="63"/>
    </row>
    <row r="2" spans="1:9" ht="59.25" customHeight="1" thickBot="1" thickTop="1">
      <c r="A2" s="25" t="s">
        <v>19</v>
      </c>
      <c r="B2" s="25" t="s">
        <v>18</v>
      </c>
      <c r="C2" s="25" t="s">
        <v>17</v>
      </c>
      <c r="D2" s="25" t="s">
        <v>16</v>
      </c>
      <c r="E2" s="25" t="s">
        <v>15</v>
      </c>
      <c r="F2" s="25" t="s">
        <v>14</v>
      </c>
      <c r="G2" s="25" t="s">
        <v>13</v>
      </c>
      <c r="H2" s="25" t="s">
        <v>12</v>
      </c>
      <c r="I2" s="25" t="s">
        <v>11</v>
      </c>
    </row>
    <row r="3" spans="1:9" ht="14.25" thickBot="1" thickTop="1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</row>
    <row r="4" spans="1:9" ht="14.25" thickBot="1" thickTop="1">
      <c r="A4" s="25" t="s">
        <v>10</v>
      </c>
      <c r="B4" s="25" t="s">
        <v>9</v>
      </c>
      <c r="C4" s="25" t="s">
        <v>8</v>
      </c>
      <c r="D4" s="25" t="s">
        <v>7</v>
      </c>
      <c r="E4" s="25" t="s">
        <v>6</v>
      </c>
      <c r="F4" s="25" t="s">
        <v>5</v>
      </c>
      <c r="G4" s="25" t="s">
        <v>4</v>
      </c>
      <c r="H4" s="25" t="s">
        <v>3</v>
      </c>
      <c r="I4" s="25" t="s">
        <v>2</v>
      </c>
    </row>
    <row r="5" spans="1:9" ht="13.5" thickTop="1">
      <c r="A5" s="35" t="s">
        <v>36</v>
      </c>
      <c r="B5" s="37" t="s">
        <v>57</v>
      </c>
      <c r="C5" s="34" t="s">
        <v>58</v>
      </c>
      <c r="D5" s="34" t="s">
        <v>59</v>
      </c>
      <c r="E5" s="41" t="s">
        <v>61</v>
      </c>
      <c r="F5" s="43"/>
      <c r="G5" s="43">
        <f>+B32+D31</f>
        <v>40000000</v>
      </c>
      <c r="H5" s="43"/>
      <c r="I5" s="59"/>
    </row>
    <row r="6" spans="1:9" ht="12.75">
      <c r="A6" s="51" t="s">
        <v>36</v>
      </c>
      <c r="B6" s="40" t="s">
        <v>57</v>
      </c>
      <c r="C6" s="52" t="s">
        <v>58</v>
      </c>
      <c r="D6" s="52" t="s">
        <v>60</v>
      </c>
      <c r="E6" s="41" t="s">
        <v>74</v>
      </c>
      <c r="F6" s="96"/>
      <c r="G6" s="96">
        <f>+F29</f>
        <v>21666.666666666668</v>
      </c>
      <c r="H6" s="96"/>
      <c r="I6" s="165"/>
    </row>
    <row r="7" spans="1:9" ht="12.75">
      <c r="A7" s="36" t="s">
        <v>36</v>
      </c>
      <c r="B7" s="38" t="s">
        <v>57</v>
      </c>
      <c r="C7" s="39" t="s">
        <v>58</v>
      </c>
      <c r="D7" s="39" t="s">
        <v>60</v>
      </c>
      <c r="E7" s="39" t="s">
        <v>61</v>
      </c>
      <c r="F7" s="44"/>
      <c r="G7" s="44">
        <f>+F32</f>
        <v>46875</v>
      </c>
      <c r="H7" s="44"/>
      <c r="I7" s="60"/>
    </row>
    <row r="8" spans="1:9" ht="12.75">
      <c r="A8" s="36" t="s">
        <v>36</v>
      </c>
      <c r="B8" s="38" t="s">
        <v>57</v>
      </c>
      <c r="C8" s="39" t="s">
        <v>58</v>
      </c>
      <c r="D8" s="39" t="s">
        <v>60</v>
      </c>
      <c r="E8" s="41" t="s">
        <v>62</v>
      </c>
      <c r="F8" s="45"/>
      <c r="G8" s="45">
        <f>+F32</f>
        <v>46875</v>
      </c>
      <c r="H8" s="45"/>
      <c r="I8" s="61"/>
    </row>
    <row r="9" spans="1:9" ht="12.75">
      <c r="A9" s="36" t="s">
        <v>36</v>
      </c>
      <c r="B9" s="38" t="s">
        <v>57</v>
      </c>
      <c r="C9" s="39" t="s">
        <v>58</v>
      </c>
      <c r="D9" s="39" t="s">
        <v>60</v>
      </c>
      <c r="E9" s="41" t="s">
        <v>63</v>
      </c>
      <c r="F9" s="45"/>
      <c r="G9" s="45">
        <f>+F35</f>
        <v>43750</v>
      </c>
      <c r="H9" s="45"/>
      <c r="I9" s="61"/>
    </row>
    <row r="10" spans="1:9" ht="12.75">
      <c r="A10" s="36" t="s">
        <v>36</v>
      </c>
      <c r="B10" s="38" t="s">
        <v>57</v>
      </c>
      <c r="C10" s="39" t="s">
        <v>58</v>
      </c>
      <c r="D10" s="39" t="s">
        <v>60</v>
      </c>
      <c r="E10" s="41" t="s">
        <v>64</v>
      </c>
      <c r="F10" s="45"/>
      <c r="G10" s="45">
        <f>+F38</f>
        <v>40625</v>
      </c>
      <c r="H10" s="45"/>
      <c r="I10" s="61"/>
    </row>
    <row r="11" spans="1:9" ht="12.75">
      <c r="A11" s="36" t="s">
        <v>36</v>
      </c>
      <c r="B11" s="38" t="s">
        <v>57</v>
      </c>
      <c r="C11" s="39" t="s">
        <v>58</v>
      </c>
      <c r="D11" s="39" t="s">
        <v>60</v>
      </c>
      <c r="E11" s="41" t="s">
        <v>65</v>
      </c>
      <c r="F11" s="45"/>
      <c r="G11" s="45">
        <f>+F41</f>
        <v>71875</v>
      </c>
      <c r="H11" s="45"/>
      <c r="I11" s="61"/>
    </row>
    <row r="12" spans="1:9" ht="12.75">
      <c r="A12" s="36" t="s">
        <v>36</v>
      </c>
      <c r="B12" s="38" t="s">
        <v>57</v>
      </c>
      <c r="C12" s="39" t="s">
        <v>58</v>
      </c>
      <c r="D12" s="39" t="s">
        <v>60</v>
      </c>
      <c r="E12" s="41" t="s">
        <v>66</v>
      </c>
      <c r="F12" s="45"/>
      <c r="G12" s="45">
        <f>+F47</f>
        <v>59375</v>
      </c>
      <c r="H12" s="45"/>
      <c r="I12" s="61"/>
    </row>
    <row r="13" spans="1:9" ht="12.75">
      <c r="A13" s="36" t="s">
        <v>36</v>
      </c>
      <c r="B13" s="38" t="s">
        <v>57</v>
      </c>
      <c r="C13" s="39" t="s">
        <v>58</v>
      </c>
      <c r="D13" s="39" t="s">
        <v>60</v>
      </c>
      <c r="E13" s="41" t="s">
        <v>67</v>
      </c>
      <c r="F13" s="45"/>
      <c r="G13" s="45">
        <f>+F53</f>
        <v>81249.99999999999</v>
      </c>
      <c r="H13" s="45"/>
      <c r="I13" s="61"/>
    </row>
    <row r="14" spans="1:9" ht="13.5" thickBot="1">
      <c r="A14" s="64" t="s">
        <v>36</v>
      </c>
      <c r="B14" s="65" t="s">
        <v>57</v>
      </c>
      <c r="C14" s="65" t="s">
        <v>58</v>
      </c>
      <c r="D14" s="65" t="s">
        <v>60</v>
      </c>
      <c r="E14" s="65" t="s">
        <v>68</v>
      </c>
      <c r="F14" s="66"/>
      <c r="G14" s="66">
        <f>+F65</f>
        <v>31250</v>
      </c>
      <c r="H14" s="66"/>
      <c r="I14" s="67"/>
    </row>
    <row r="15" ht="13.5" thickTop="1"/>
    <row r="16" spans="1:2" ht="12.75">
      <c r="A16" s="77" t="s">
        <v>40</v>
      </c>
      <c r="B16" s="78" t="s">
        <v>97</v>
      </c>
    </row>
    <row r="17" spans="1:2" ht="12.75">
      <c r="A17" s="77" t="s">
        <v>19</v>
      </c>
      <c r="B17" s="78" t="s">
        <v>36</v>
      </c>
    </row>
    <row r="18" spans="1:2" ht="12.75">
      <c r="A18" s="77" t="s">
        <v>41</v>
      </c>
      <c r="B18" s="68" t="s">
        <v>56</v>
      </c>
    </row>
    <row r="19" spans="1:2" ht="12.75">
      <c r="A19" s="77" t="s">
        <v>43</v>
      </c>
      <c r="B19" s="68" t="s">
        <v>52</v>
      </c>
    </row>
    <row r="20" spans="1:3" ht="12.75">
      <c r="A20" s="77" t="s">
        <v>42</v>
      </c>
      <c r="B20" s="68" t="s">
        <v>53</v>
      </c>
      <c r="C20" s="62"/>
    </row>
    <row r="21" spans="1:2" ht="12.75">
      <c r="A21" s="77" t="s">
        <v>44</v>
      </c>
      <c r="B21" s="68" t="s">
        <v>45</v>
      </c>
    </row>
    <row r="22" spans="1:2" ht="12.75">
      <c r="A22" s="77" t="s">
        <v>46</v>
      </c>
      <c r="B22" s="68" t="s">
        <v>48</v>
      </c>
    </row>
    <row r="23" spans="1:2" ht="12.75">
      <c r="A23" s="77" t="s">
        <v>47</v>
      </c>
      <c r="B23" s="79" t="s">
        <v>49</v>
      </c>
    </row>
    <row r="24" spans="1:2" ht="12.75">
      <c r="A24" s="77" t="s">
        <v>50</v>
      </c>
      <c r="B24" s="68" t="s">
        <v>51</v>
      </c>
    </row>
    <row r="25" spans="1:2" ht="12.75">
      <c r="A25" s="205" t="s">
        <v>69</v>
      </c>
      <c r="B25" s="206"/>
    </row>
    <row r="26" ht="13.5" thickBot="1"/>
    <row r="27" spans="1:6" ht="12.75">
      <c r="A27" s="207" t="s">
        <v>117</v>
      </c>
      <c r="B27" s="208"/>
      <c r="C27" s="208"/>
      <c r="D27" s="209"/>
      <c r="E27" s="213" t="s">
        <v>89</v>
      </c>
      <c r="F27" s="214"/>
    </row>
    <row r="28" spans="1:6" ht="13.5" thickBot="1">
      <c r="A28" s="74" t="s">
        <v>119</v>
      </c>
      <c r="B28" s="76" t="s">
        <v>118</v>
      </c>
      <c r="C28" s="76" t="s">
        <v>54</v>
      </c>
      <c r="D28" s="75" t="s">
        <v>55</v>
      </c>
      <c r="E28" s="74" t="s">
        <v>90</v>
      </c>
      <c r="F28" s="75" t="s">
        <v>88</v>
      </c>
    </row>
    <row r="29" spans="1:6" ht="13.5" thickBot="1">
      <c r="A29" s="70">
        <v>1</v>
      </c>
      <c r="B29" s="71">
        <v>40000000</v>
      </c>
      <c r="C29" s="69">
        <f>+B29*(0.0015+0.005)/12</f>
        <v>21666.666666666668</v>
      </c>
      <c r="D29" s="71">
        <f>+IF(MOD(A29,3)=0,70000000/28,0)</f>
        <v>0</v>
      </c>
      <c r="E29" s="164">
        <f>+A29/12</f>
        <v>0.08333333333333333</v>
      </c>
      <c r="F29" s="158">
        <f>+C29</f>
        <v>21666.666666666668</v>
      </c>
    </row>
    <row r="30" spans="1:6" ht="12.75">
      <c r="A30" s="70">
        <v>2</v>
      </c>
      <c r="B30" s="71">
        <f aca="true" t="shared" si="0" ref="B30:B76">+B29-D29</f>
        <v>40000000</v>
      </c>
      <c r="C30" s="69">
        <f>+B30*(0.0015+0.005)/12</f>
        <v>21666.666666666668</v>
      </c>
      <c r="D30" s="71">
        <f aca="true" t="shared" si="1" ref="D30:D76">+IF(MOD(A30,3)=0,70000000/28,0)</f>
        <v>0</v>
      </c>
      <c r="E30" s="166">
        <f aca="true" t="shared" si="2" ref="E30:E76">+A30/12</f>
        <v>0.16666666666666666</v>
      </c>
      <c r="F30" s="210">
        <f>+C30+C31</f>
        <v>43333.333333333336</v>
      </c>
    </row>
    <row r="31" spans="1:6" ht="13.5" thickBot="1">
      <c r="A31" s="72">
        <v>3</v>
      </c>
      <c r="B31" s="73">
        <f t="shared" si="0"/>
        <v>40000000</v>
      </c>
      <c r="C31" s="161">
        <f>+B31*(0.0015+0.005)/12</f>
        <v>21666.666666666668</v>
      </c>
      <c r="D31" s="73">
        <f t="shared" si="1"/>
        <v>2500000</v>
      </c>
      <c r="E31" s="164">
        <f t="shared" si="2"/>
        <v>0.25</v>
      </c>
      <c r="F31" s="212"/>
    </row>
    <row r="32" spans="1:6" ht="12.75">
      <c r="A32" s="70">
        <v>4</v>
      </c>
      <c r="B32" s="163">
        <f t="shared" si="0"/>
        <v>37500000</v>
      </c>
      <c r="C32" s="162">
        <f>+B32*(0.005)/12</f>
        <v>15625</v>
      </c>
      <c r="D32" s="71">
        <f t="shared" si="1"/>
        <v>0</v>
      </c>
      <c r="E32" s="166">
        <f t="shared" si="2"/>
        <v>0.3333333333333333</v>
      </c>
      <c r="F32" s="210">
        <f>+SUM(C32:C34)</f>
        <v>46875</v>
      </c>
    </row>
    <row r="33" spans="1:6" ht="12.75">
      <c r="A33" s="70">
        <v>5</v>
      </c>
      <c r="B33" s="71">
        <f t="shared" si="0"/>
        <v>37500000</v>
      </c>
      <c r="C33" s="162">
        <f aca="true" t="shared" si="3" ref="C33:C76">+B33*(0.005)/12</f>
        <v>15625</v>
      </c>
      <c r="D33" s="71">
        <f t="shared" si="1"/>
        <v>0</v>
      </c>
      <c r="E33" s="167">
        <f t="shared" si="2"/>
        <v>0.4166666666666667</v>
      </c>
      <c r="F33" s="211"/>
    </row>
    <row r="34" spans="1:6" ht="13.5" thickBot="1">
      <c r="A34" s="70">
        <v>6</v>
      </c>
      <c r="B34" s="71">
        <f t="shared" si="0"/>
        <v>37500000</v>
      </c>
      <c r="C34" s="162">
        <f t="shared" si="3"/>
        <v>15625</v>
      </c>
      <c r="D34" s="71">
        <f t="shared" si="1"/>
        <v>2500000</v>
      </c>
      <c r="E34" s="164">
        <f t="shared" si="2"/>
        <v>0.5</v>
      </c>
      <c r="F34" s="212"/>
    </row>
    <row r="35" spans="1:6" ht="12.75">
      <c r="A35" s="70">
        <v>7</v>
      </c>
      <c r="B35" s="71">
        <f t="shared" si="0"/>
        <v>35000000</v>
      </c>
      <c r="C35" s="162">
        <f t="shared" si="3"/>
        <v>14583.333333333334</v>
      </c>
      <c r="D35" s="71">
        <f t="shared" si="1"/>
        <v>0</v>
      </c>
      <c r="E35" s="166">
        <f t="shared" si="2"/>
        <v>0.5833333333333334</v>
      </c>
      <c r="F35" s="210">
        <f>+SUM(C35:C37)</f>
        <v>43750</v>
      </c>
    </row>
    <row r="36" spans="1:6" ht="12.75">
      <c r="A36" s="70">
        <v>8</v>
      </c>
      <c r="B36" s="71">
        <f t="shared" si="0"/>
        <v>35000000</v>
      </c>
      <c r="C36" s="162">
        <f t="shared" si="3"/>
        <v>14583.333333333334</v>
      </c>
      <c r="D36" s="71">
        <f t="shared" si="1"/>
        <v>0</v>
      </c>
      <c r="E36" s="167">
        <f t="shared" si="2"/>
        <v>0.6666666666666666</v>
      </c>
      <c r="F36" s="211"/>
    </row>
    <row r="37" spans="1:6" ht="13.5" thickBot="1">
      <c r="A37" s="70">
        <v>9</v>
      </c>
      <c r="B37" s="71">
        <f t="shared" si="0"/>
        <v>35000000</v>
      </c>
      <c r="C37" s="162">
        <f t="shared" si="3"/>
        <v>14583.333333333334</v>
      </c>
      <c r="D37" s="71">
        <f t="shared" si="1"/>
        <v>2500000</v>
      </c>
      <c r="E37" s="164">
        <f t="shared" si="2"/>
        <v>0.75</v>
      </c>
      <c r="F37" s="212"/>
    </row>
    <row r="38" spans="1:6" ht="12.75">
      <c r="A38" s="70">
        <v>10</v>
      </c>
      <c r="B38" s="71">
        <f t="shared" si="0"/>
        <v>32500000</v>
      </c>
      <c r="C38" s="162">
        <f t="shared" si="3"/>
        <v>13541.666666666666</v>
      </c>
      <c r="D38" s="71">
        <f t="shared" si="1"/>
        <v>0</v>
      </c>
      <c r="E38" s="166">
        <f t="shared" si="2"/>
        <v>0.8333333333333334</v>
      </c>
      <c r="F38" s="210">
        <f>+SUM(C38:C40)</f>
        <v>40625</v>
      </c>
    </row>
    <row r="39" spans="1:6" ht="12.75">
      <c r="A39" s="70">
        <v>11</v>
      </c>
      <c r="B39" s="71">
        <f t="shared" si="0"/>
        <v>32500000</v>
      </c>
      <c r="C39" s="162">
        <f t="shared" si="3"/>
        <v>13541.666666666666</v>
      </c>
      <c r="D39" s="71">
        <f t="shared" si="1"/>
        <v>0</v>
      </c>
      <c r="E39" s="167">
        <f t="shared" si="2"/>
        <v>0.9166666666666666</v>
      </c>
      <c r="F39" s="211"/>
    </row>
    <row r="40" spans="1:6" ht="13.5" thickBot="1">
      <c r="A40" s="70">
        <v>12</v>
      </c>
      <c r="B40" s="71">
        <f t="shared" si="0"/>
        <v>32500000</v>
      </c>
      <c r="C40" s="162">
        <f t="shared" si="3"/>
        <v>13541.666666666666</v>
      </c>
      <c r="D40" s="71">
        <f t="shared" si="1"/>
        <v>2500000</v>
      </c>
      <c r="E40" s="164">
        <f t="shared" si="2"/>
        <v>1</v>
      </c>
      <c r="F40" s="212"/>
    </row>
    <row r="41" spans="1:6" ht="12.75">
      <c r="A41" s="70">
        <v>13</v>
      </c>
      <c r="B41" s="71">
        <f t="shared" si="0"/>
        <v>30000000</v>
      </c>
      <c r="C41" s="162">
        <f t="shared" si="3"/>
        <v>12500</v>
      </c>
      <c r="D41" s="71">
        <f t="shared" si="1"/>
        <v>0</v>
      </c>
      <c r="E41" s="166">
        <f t="shared" si="2"/>
        <v>1.0833333333333333</v>
      </c>
      <c r="F41" s="210">
        <f>+SUM(C41:C46)</f>
        <v>71875</v>
      </c>
    </row>
    <row r="42" spans="1:6" ht="12.75">
      <c r="A42" s="70">
        <v>14</v>
      </c>
      <c r="B42" s="71">
        <f t="shared" si="0"/>
        <v>30000000</v>
      </c>
      <c r="C42" s="162">
        <f t="shared" si="3"/>
        <v>12500</v>
      </c>
      <c r="D42" s="71">
        <f t="shared" si="1"/>
        <v>0</v>
      </c>
      <c r="E42" s="167">
        <f t="shared" si="2"/>
        <v>1.1666666666666667</v>
      </c>
      <c r="F42" s="211"/>
    </row>
    <row r="43" spans="1:6" ht="12.75">
      <c r="A43" s="70">
        <v>15</v>
      </c>
      <c r="B43" s="71">
        <f t="shared" si="0"/>
        <v>30000000</v>
      </c>
      <c r="C43" s="162">
        <f t="shared" si="3"/>
        <v>12500</v>
      </c>
      <c r="D43" s="71">
        <f t="shared" si="1"/>
        <v>2500000</v>
      </c>
      <c r="E43" s="167">
        <f t="shared" si="2"/>
        <v>1.25</v>
      </c>
      <c r="F43" s="211"/>
    </row>
    <row r="44" spans="1:6" ht="12.75">
      <c r="A44" s="70">
        <v>16</v>
      </c>
      <c r="B44" s="71">
        <f t="shared" si="0"/>
        <v>27500000</v>
      </c>
      <c r="C44" s="162">
        <f t="shared" si="3"/>
        <v>11458.333333333334</v>
      </c>
      <c r="D44" s="71">
        <f t="shared" si="1"/>
        <v>0</v>
      </c>
      <c r="E44" s="167">
        <f t="shared" si="2"/>
        <v>1.3333333333333333</v>
      </c>
      <c r="F44" s="211"/>
    </row>
    <row r="45" spans="1:6" ht="12.75">
      <c r="A45" s="70">
        <v>17</v>
      </c>
      <c r="B45" s="71">
        <f t="shared" si="0"/>
        <v>27500000</v>
      </c>
      <c r="C45" s="162">
        <f t="shared" si="3"/>
        <v>11458.333333333334</v>
      </c>
      <c r="D45" s="71">
        <f t="shared" si="1"/>
        <v>0</v>
      </c>
      <c r="E45" s="167">
        <f t="shared" si="2"/>
        <v>1.4166666666666667</v>
      </c>
      <c r="F45" s="211"/>
    </row>
    <row r="46" spans="1:6" ht="13.5" thickBot="1">
      <c r="A46" s="70">
        <v>18</v>
      </c>
      <c r="B46" s="71">
        <f t="shared" si="0"/>
        <v>27500000</v>
      </c>
      <c r="C46" s="162">
        <f t="shared" si="3"/>
        <v>11458.333333333334</v>
      </c>
      <c r="D46" s="71">
        <f t="shared" si="1"/>
        <v>2500000</v>
      </c>
      <c r="E46" s="164">
        <f t="shared" si="2"/>
        <v>1.5</v>
      </c>
      <c r="F46" s="212"/>
    </row>
    <row r="47" spans="1:6" ht="12.75">
      <c r="A47" s="70">
        <v>19</v>
      </c>
      <c r="B47" s="71">
        <f t="shared" si="0"/>
        <v>25000000</v>
      </c>
      <c r="C47" s="162">
        <f t="shared" si="3"/>
        <v>10416.666666666666</v>
      </c>
      <c r="D47" s="71">
        <f t="shared" si="1"/>
        <v>0</v>
      </c>
      <c r="E47" s="166">
        <f t="shared" si="2"/>
        <v>1.5833333333333333</v>
      </c>
      <c r="F47" s="210">
        <f>+SUM(C47:C52)</f>
        <v>59375</v>
      </c>
    </row>
    <row r="48" spans="1:6" ht="12.75">
      <c r="A48" s="70">
        <v>20</v>
      </c>
      <c r="B48" s="71">
        <f t="shared" si="0"/>
        <v>25000000</v>
      </c>
      <c r="C48" s="162">
        <f t="shared" si="3"/>
        <v>10416.666666666666</v>
      </c>
      <c r="D48" s="71">
        <f t="shared" si="1"/>
        <v>0</v>
      </c>
      <c r="E48" s="167">
        <f t="shared" si="2"/>
        <v>1.6666666666666667</v>
      </c>
      <c r="F48" s="211"/>
    </row>
    <row r="49" spans="1:6" ht="12.75">
      <c r="A49" s="70">
        <v>21</v>
      </c>
      <c r="B49" s="71">
        <f t="shared" si="0"/>
        <v>25000000</v>
      </c>
      <c r="C49" s="162">
        <f t="shared" si="3"/>
        <v>10416.666666666666</v>
      </c>
      <c r="D49" s="71">
        <f t="shared" si="1"/>
        <v>2500000</v>
      </c>
      <c r="E49" s="167">
        <f t="shared" si="2"/>
        <v>1.75</v>
      </c>
      <c r="F49" s="211"/>
    </row>
    <row r="50" spans="1:6" ht="12.75">
      <c r="A50" s="70">
        <v>22</v>
      </c>
      <c r="B50" s="71">
        <f t="shared" si="0"/>
        <v>22500000</v>
      </c>
      <c r="C50" s="162">
        <f t="shared" si="3"/>
        <v>9375</v>
      </c>
      <c r="D50" s="71">
        <f t="shared" si="1"/>
        <v>0</v>
      </c>
      <c r="E50" s="167">
        <f t="shared" si="2"/>
        <v>1.8333333333333333</v>
      </c>
      <c r="F50" s="211"/>
    </row>
    <row r="51" spans="1:6" ht="12.75">
      <c r="A51" s="70">
        <v>23</v>
      </c>
      <c r="B51" s="71">
        <f t="shared" si="0"/>
        <v>22500000</v>
      </c>
      <c r="C51" s="162">
        <f t="shared" si="3"/>
        <v>9375</v>
      </c>
      <c r="D51" s="71">
        <f t="shared" si="1"/>
        <v>0</v>
      </c>
      <c r="E51" s="167">
        <f t="shared" si="2"/>
        <v>1.9166666666666667</v>
      </c>
      <c r="F51" s="211"/>
    </row>
    <row r="52" spans="1:6" ht="13.5" thickBot="1">
      <c r="A52" s="70">
        <v>24</v>
      </c>
      <c r="B52" s="71">
        <f t="shared" si="0"/>
        <v>22500000</v>
      </c>
      <c r="C52" s="162">
        <f t="shared" si="3"/>
        <v>9375</v>
      </c>
      <c r="D52" s="71">
        <f t="shared" si="1"/>
        <v>2500000</v>
      </c>
      <c r="E52" s="164">
        <f t="shared" si="2"/>
        <v>2</v>
      </c>
      <c r="F52" s="212"/>
    </row>
    <row r="53" spans="1:6" ht="12.75">
      <c r="A53" s="70">
        <v>25</v>
      </c>
      <c r="B53" s="71">
        <f t="shared" si="0"/>
        <v>20000000</v>
      </c>
      <c r="C53" s="162">
        <f t="shared" si="3"/>
        <v>8333.333333333334</v>
      </c>
      <c r="D53" s="71">
        <f t="shared" si="1"/>
        <v>0</v>
      </c>
      <c r="E53" s="166">
        <f t="shared" si="2"/>
        <v>2.0833333333333335</v>
      </c>
      <c r="F53" s="210">
        <f>+SUM(C53:C64)</f>
        <v>81249.99999999999</v>
      </c>
    </row>
    <row r="54" spans="1:6" ht="12.75">
      <c r="A54" s="70">
        <v>26</v>
      </c>
      <c r="B54" s="71">
        <f t="shared" si="0"/>
        <v>20000000</v>
      </c>
      <c r="C54" s="162">
        <f t="shared" si="3"/>
        <v>8333.333333333334</v>
      </c>
      <c r="D54" s="71">
        <f t="shared" si="1"/>
        <v>0</v>
      </c>
      <c r="E54" s="167">
        <f t="shared" si="2"/>
        <v>2.1666666666666665</v>
      </c>
      <c r="F54" s="211"/>
    </row>
    <row r="55" spans="1:6" ht="12.75">
      <c r="A55" s="70">
        <v>27</v>
      </c>
      <c r="B55" s="71">
        <f t="shared" si="0"/>
        <v>20000000</v>
      </c>
      <c r="C55" s="162">
        <f t="shared" si="3"/>
        <v>8333.333333333334</v>
      </c>
      <c r="D55" s="71">
        <f t="shared" si="1"/>
        <v>2500000</v>
      </c>
      <c r="E55" s="167">
        <f t="shared" si="2"/>
        <v>2.25</v>
      </c>
      <c r="F55" s="211"/>
    </row>
    <row r="56" spans="1:6" ht="12.75">
      <c r="A56" s="70">
        <v>28</v>
      </c>
      <c r="B56" s="71">
        <f t="shared" si="0"/>
        <v>17500000</v>
      </c>
      <c r="C56" s="162">
        <f t="shared" si="3"/>
        <v>7291.666666666667</v>
      </c>
      <c r="D56" s="71">
        <f t="shared" si="1"/>
        <v>0</v>
      </c>
      <c r="E56" s="167">
        <f t="shared" si="2"/>
        <v>2.3333333333333335</v>
      </c>
      <c r="F56" s="211"/>
    </row>
    <row r="57" spans="1:6" ht="12.75">
      <c r="A57" s="70">
        <v>29</v>
      </c>
      <c r="B57" s="71">
        <f t="shared" si="0"/>
        <v>17500000</v>
      </c>
      <c r="C57" s="162">
        <f t="shared" si="3"/>
        <v>7291.666666666667</v>
      </c>
      <c r="D57" s="71">
        <f t="shared" si="1"/>
        <v>0</v>
      </c>
      <c r="E57" s="167">
        <f t="shared" si="2"/>
        <v>2.4166666666666665</v>
      </c>
      <c r="F57" s="211"/>
    </row>
    <row r="58" spans="1:6" ht="12.75">
      <c r="A58" s="70">
        <v>30</v>
      </c>
      <c r="B58" s="71">
        <f t="shared" si="0"/>
        <v>17500000</v>
      </c>
      <c r="C58" s="162">
        <f t="shared" si="3"/>
        <v>7291.666666666667</v>
      </c>
      <c r="D58" s="71">
        <f t="shared" si="1"/>
        <v>2500000</v>
      </c>
      <c r="E58" s="167">
        <f t="shared" si="2"/>
        <v>2.5</v>
      </c>
      <c r="F58" s="211"/>
    </row>
    <row r="59" spans="1:6" ht="12.75">
      <c r="A59" s="70">
        <v>31</v>
      </c>
      <c r="B59" s="71">
        <f t="shared" si="0"/>
        <v>15000000</v>
      </c>
      <c r="C59" s="162">
        <f t="shared" si="3"/>
        <v>6250</v>
      </c>
      <c r="D59" s="71">
        <f t="shared" si="1"/>
        <v>0</v>
      </c>
      <c r="E59" s="167">
        <f t="shared" si="2"/>
        <v>2.5833333333333335</v>
      </c>
      <c r="F59" s="211"/>
    </row>
    <row r="60" spans="1:6" ht="12.75">
      <c r="A60" s="70">
        <v>32</v>
      </c>
      <c r="B60" s="71">
        <f t="shared" si="0"/>
        <v>15000000</v>
      </c>
      <c r="C60" s="162">
        <f t="shared" si="3"/>
        <v>6250</v>
      </c>
      <c r="D60" s="71">
        <f t="shared" si="1"/>
        <v>0</v>
      </c>
      <c r="E60" s="167">
        <f t="shared" si="2"/>
        <v>2.6666666666666665</v>
      </c>
      <c r="F60" s="211"/>
    </row>
    <row r="61" spans="1:6" ht="12.75">
      <c r="A61" s="70">
        <v>33</v>
      </c>
      <c r="B61" s="71">
        <f t="shared" si="0"/>
        <v>15000000</v>
      </c>
      <c r="C61" s="162">
        <f t="shared" si="3"/>
        <v>6250</v>
      </c>
      <c r="D61" s="71">
        <f t="shared" si="1"/>
        <v>2500000</v>
      </c>
      <c r="E61" s="167">
        <f t="shared" si="2"/>
        <v>2.75</v>
      </c>
      <c r="F61" s="211"/>
    </row>
    <row r="62" spans="1:6" ht="12.75">
      <c r="A62" s="70">
        <v>34</v>
      </c>
      <c r="B62" s="71">
        <f t="shared" si="0"/>
        <v>12500000</v>
      </c>
      <c r="C62" s="162">
        <f t="shared" si="3"/>
        <v>5208.333333333333</v>
      </c>
      <c r="D62" s="71">
        <f t="shared" si="1"/>
        <v>0</v>
      </c>
      <c r="E62" s="167">
        <f t="shared" si="2"/>
        <v>2.8333333333333335</v>
      </c>
      <c r="F62" s="211"/>
    </row>
    <row r="63" spans="1:6" ht="12.75">
      <c r="A63" s="70">
        <v>35</v>
      </c>
      <c r="B63" s="71">
        <f t="shared" si="0"/>
        <v>12500000</v>
      </c>
      <c r="C63" s="162">
        <f t="shared" si="3"/>
        <v>5208.333333333333</v>
      </c>
      <c r="D63" s="71">
        <f t="shared" si="1"/>
        <v>0</v>
      </c>
      <c r="E63" s="167">
        <f t="shared" si="2"/>
        <v>2.9166666666666665</v>
      </c>
      <c r="F63" s="211"/>
    </row>
    <row r="64" spans="1:6" ht="13.5" thickBot="1">
      <c r="A64" s="70">
        <v>36</v>
      </c>
      <c r="B64" s="71">
        <f t="shared" si="0"/>
        <v>12500000</v>
      </c>
      <c r="C64" s="162">
        <f t="shared" si="3"/>
        <v>5208.333333333333</v>
      </c>
      <c r="D64" s="71">
        <f t="shared" si="1"/>
        <v>2500000</v>
      </c>
      <c r="E64" s="164">
        <f t="shared" si="2"/>
        <v>3</v>
      </c>
      <c r="F64" s="212"/>
    </row>
    <row r="65" spans="1:6" ht="12.75">
      <c r="A65" s="70">
        <v>37</v>
      </c>
      <c r="B65" s="71">
        <f t="shared" si="0"/>
        <v>10000000</v>
      </c>
      <c r="C65" s="162">
        <f t="shared" si="3"/>
        <v>4166.666666666667</v>
      </c>
      <c r="D65" s="71">
        <f t="shared" si="1"/>
        <v>0</v>
      </c>
      <c r="E65" s="167">
        <f t="shared" si="2"/>
        <v>3.0833333333333335</v>
      </c>
      <c r="F65" s="210">
        <f>+SUM(C65:C76)</f>
        <v>31250</v>
      </c>
    </row>
    <row r="66" spans="1:6" ht="12.75">
      <c r="A66" s="70">
        <v>38</v>
      </c>
      <c r="B66" s="71">
        <f t="shared" si="0"/>
        <v>10000000</v>
      </c>
      <c r="C66" s="162">
        <f t="shared" si="3"/>
        <v>4166.666666666667</v>
      </c>
      <c r="D66" s="71">
        <f t="shared" si="1"/>
        <v>0</v>
      </c>
      <c r="E66" s="167">
        <f t="shared" si="2"/>
        <v>3.1666666666666665</v>
      </c>
      <c r="F66" s="211"/>
    </row>
    <row r="67" spans="1:6" ht="12.75">
      <c r="A67" s="70">
        <v>39</v>
      </c>
      <c r="B67" s="71">
        <f t="shared" si="0"/>
        <v>10000000</v>
      </c>
      <c r="C67" s="162">
        <f t="shared" si="3"/>
        <v>4166.666666666667</v>
      </c>
      <c r="D67" s="71">
        <f t="shared" si="1"/>
        <v>2500000</v>
      </c>
      <c r="E67" s="167">
        <f t="shared" si="2"/>
        <v>3.25</v>
      </c>
      <c r="F67" s="211"/>
    </row>
    <row r="68" spans="1:6" ht="12.75">
      <c r="A68" s="70">
        <v>40</v>
      </c>
      <c r="B68" s="71">
        <f t="shared" si="0"/>
        <v>7500000</v>
      </c>
      <c r="C68" s="162">
        <f t="shared" si="3"/>
        <v>3125</v>
      </c>
      <c r="D68" s="71">
        <f t="shared" si="1"/>
        <v>0</v>
      </c>
      <c r="E68" s="167">
        <f t="shared" si="2"/>
        <v>3.3333333333333335</v>
      </c>
      <c r="F68" s="211"/>
    </row>
    <row r="69" spans="1:6" ht="12.75">
      <c r="A69" s="70">
        <v>41</v>
      </c>
      <c r="B69" s="71">
        <f t="shared" si="0"/>
        <v>7500000</v>
      </c>
      <c r="C69" s="162">
        <f t="shared" si="3"/>
        <v>3125</v>
      </c>
      <c r="D69" s="71">
        <f t="shared" si="1"/>
        <v>0</v>
      </c>
      <c r="E69" s="167">
        <f t="shared" si="2"/>
        <v>3.4166666666666665</v>
      </c>
      <c r="F69" s="211"/>
    </row>
    <row r="70" spans="1:6" ht="12.75">
      <c r="A70" s="70">
        <v>42</v>
      </c>
      <c r="B70" s="71">
        <f t="shared" si="0"/>
        <v>7500000</v>
      </c>
      <c r="C70" s="162">
        <f t="shared" si="3"/>
        <v>3125</v>
      </c>
      <c r="D70" s="71">
        <f t="shared" si="1"/>
        <v>2500000</v>
      </c>
      <c r="E70" s="167">
        <f t="shared" si="2"/>
        <v>3.5</v>
      </c>
      <c r="F70" s="211"/>
    </row>
    <row r="71" spans="1:6" ht="12.75">
      <c r="A71" s="70">
        <v>43</v>
      </c>
      <c r="B71" s="71">
        <f t="shared" si="0"/>
        <v>5000000</v>
      </c>
      <c r="C71" s="162">
        <f t="shared" si="3"/>
        <v>2083.3333333333335</v>
      </c>
      <c r="D71" s="71">
        <f t="shared" si="1"/>
        <v>0</v>
      </c>
      <c r="E71" s="167">
        <f t="shared" si="2"/>
        <v>3.5833333333333335</v>
      </c>
      <c r="F71" s="211"/>
    </row>
    <row r="72" spans="1:6" ht="12.75">
      <c r="A72" s="70">
        <v>44</v>
      </c>
      <c r="B72" s="71">
        <f t="shared" si="0"/>
        <v>5000000</v>
      </c>
      <c r="C72" s="162">
        <f t="shared" si="3"/>
        <v>2083.3333333333335</v>
      </c>
      <c r="D72" s="71">
        <f t="shared" si="1"/>
        <v>0</v>
      </c>
      <c r="E72" s="167">
        <f t="shared" si="2"/>
        <v>3.6666666666666665</v>
      </c>
      <c r="F72" s="211"/>
    </row>
    <row r="73" spans="1:6" ht="12.75">
      <c r="A73" s="70">
        <v>45</v>
      </c>
      <c r="B73" s="71">
        <f t="shared" si="0"/>
        <v>5000000</v>
      </c>
      <c r="C73" s="162">
        <f t="shared" si="3"/>
        <v>2083.3333333333335</v>
      </c>
      <c r="D73" s="71">
        <f t="shared" si="1"/>
        <v>2500000</v>
      </c>
      <c r="E73" s="167">
        <f t="shared" si="2"/>
        <v>3.75</v>
      </c>
      <c r="F73" s="211"/>
    </row>
    <row r="74" spans="1:6" ht="12.75">
      <c r="A74" s="70">
        <v>46</v>
      </c>
      <c r="B74" s="71">
        <f t="shared" si="0"/>
        <v>2500000</v>
      </c>
      <c r="C74" s="162">
        <f t="shared" si="3"/>
        <v>1041.6666666666667</v>
      </c>
      <c r="D74" s="71">
        <f t="shared" si="1"/>
        <v>0</v>
      </c>
      <c r="E74" s="167">
        <f t="shared" si="2"/>
        <v>3.8333333333333335</v>
      </c>
      <c r="F74" s="211"/>
    </row>
    <row r="75" spans="1:6" ht="12.75">
      <c r="A75" s="70">
        <v>47</v>
      </c>
      <c r="B75" s="71">
        <f t="shared" si="0"/>
        <v>2500000</v>
      </c>
      <c r="C75" s="162">
        <f t="shared" si="3"/>
        <v>1041.6666666666667</v>
      </c>
      <c r="D75" s="71">
        <f t="shared" si="1"/>
        <v>0</v>
      </c>
      <c r="E75" s="167">
        <f t="shared" si="2"/>
        <v>3.9166666666666665</v>
      </c>
      <c r="F75" s="211"/>
    </row>
    <row r="76" spans="1:6" ht="13.5" thickBot="1">
      <c r="A76" s="70">
        <v>48</v>
      </c>
      <c r="B76" s="71">
        <f t="shared" si="0"/>
        <v>2500000</v>
      </c>
      <c r="C76" s="162">
        <f t="shared" si="3"/>
        <v>1041.6666666666667</v>
      </c>
      <c r="D76" s="71">
        <f t="shared" si="1"/>
        <v>2500000</v>
      </c>
      <c r="E76" s="164">
        <f t="shared" si="2"/>
        <v>4</v>
      </c>
      <c r="F76" s="212"/>
    </row>
  </sheetData>
  <sheetProtection/>
  <mergeCells count="11">
    <mergeCell ref="F47:F52"/>
    <mergeCell ref="A25:B25"/>
    <mergeCell ref="A27:D27"/>
    <mergeCell ref="F65:F76"/>
    <mergeCell ref="E27:F27"/>
    <mergeCell ref="F53:F64"/>
    <mergeCell ref="F30:F31"/>
    <mergeCell ref="F32:F34"/>
    <mergeCell ref="F35:F37"/>
    <mergeCell ref="F38:F40"/>
    <mergeCell ref="F41:F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R155"/>
  <sheetViews>
    <sheetView zoomScale="85" zoomScaleNormal="85" zoomScalePageLayoutView="0" workbookViewId="0" topLeftCell="A1">
      <selection activeCell="K27" sqref="K27"/>
    </sheetView>
  </sheetViews>
  <sheetFormatPr defaultColWidth="9.140625" defaultRowHeight="12.75"/>
  <cols>
    <col min="1" max="1" width="21.00390625" style="0" customWidth="1"/>
    <col min="2" max="2" width="20.7109375" style="0" bestFit="1" customWidth="1"/>
    <col min="3" max="3" width="18.140625" style="0" bestFit="1" customWidth="1"/>
    <col min="4" max="4" width="13.00390625" style="0" bestFit="1" customWidth="1"/>
    <col min="5" max="5" width="14.57421875" style="0" bestFit="1" customWidth="1"/>
    <col min="6" max="6" width="13.00390625" style="0" bestFit="1" customWidth="1"/>
    <col min="7" max="7" width="20.7109375" style="0" bestFit="1" customWidth="1"/>
    <col min="8" max="8" width="25.28125" style="0" bestFit="1" customWidth="1"/>
    <col min="9" max="10" width="17.28125" style="0" bestFit="1" customWidth="1"/>
    <col min="11" max="11" width="16.28125" style="0" bestFit="1" customWidth="1"/>
    <col min="12" max="12" width="12.00390625" style="0" bestFit="1" customWidth="1"/>
    <col min="13" max="13" width="13.8515625" style="0" bestFit="1" customWidth="1"/>
    <col min="14" max="14" width="7.7109375" style="0" bestFit="1" customWidth="1"/>
    <col min="15" max="18" width="16.28125" style="0" bestFit="1" customWidth="1"/>
  </cols>
  <sheetData>
    <row r="1" ht="80.25" customHeight="1" thickBot="1"/>
    <row r="2" spans="1:9" ht="52.5" thickBot="1" thickTop="1">
      <c r="A2" s="58" t="s">
        <v>19</v>
      </c>
      <c r="B2" s="58" t="s">
        <v>18</v>
      </c>
      <c r="C2" s="58" t="s">
        <v>17</v>
      </c>
      <c r="D2" s="25" t="s">
        <v>16</v>
      </c>
      <c r="E2" s="25" t="s">
        <v>15</v>
      </c>
      <c r="F2" s="25" t="s">
        <v>14</v>
      </c>
      <c r="G2" s="25" t="s">
        <v>13</v>
      </c>
      <c r="H2" s="25" t="s">
        <v>12</v>
      </c>
      <c r="I2" s="25" t="s">
        <v>11</v>
      </c>
    </row>
    <row r="3" spans="1:9" ht="14.25" thickBot="1" thickTop="1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</row>
    <row r="4" spans="1:9" ht="14.25" thickBot="1" thickTop="1">
      <c r="A4" s="25" t="s">
        <v>10</v>
      </c>
      <c r="B4" s="25" t="s">
        <v>9</v>
      </c>
      <c r="C4" s="25" t="s">
        <v>8</v>
      </c>
      <c r="D4" s="25" t="s">
        <v>7</v>
      </c>
      <c r="E4" s="25" t="s">
        <v>6</v>
      </c>
      <c r="F4" s="25" t="s">
        <v>5</v>
      </c>
      <c r="G4" s="25" t="s">
        <v>4</v>
      </c>
      <c r="H4" s="25" t="s">
        <v>3</v>
      </c>
      <c r="I4" s="25" t="s">
        <v>2</v>
      </c>
    </row>
    <row r="5" spans="1:9" ht="13.5" thickTop="1">
      <c r="A5" s="51" t="s">
        <v>36</v>
      </c>
      <c r="B5" s="39" t="s">
        <v>57</v>
      </c>
      <c r="C5" s="52" t="s">
        <v>58</v>
      </c>
      <c r="D5" s="52" t="s">
        <v>60</v>
      </c>
      <c r="E5" s="41" t="s">
        <v>74</v>
      </c>
      <c r="F5" s="96"/>
      <c r="G5" s="96">
        <f>+G36</f>
        <v>333333.3333333334</v>
      </c>
      <c r="H5" s="96"/>
      <c r="I5" s="97"/>
    </row>
    <row r="6" spans="1:13" ht="12.75">
      <c r="A6" s="51" t="s">
        <v>36</v>
      </c>
      <c r="B6" s="39" t="s">
        <v>57</v>
      </c>
      <c r="C6" s="52" t="s">
        <v>58</v>
      </c>
      <c r="D6" s="52" t="s">
        <v>60</v>
      </c>
      <c r="E6" s="41" t="s">
        <v>61</v>
      </c>
      <c r="F6" s="96"/>
      <c r="G6" s="96">
        <f>+G37</f>
        <v>659867.9404274195</v>
      </c>
      <c r="H6" s="96"/>
      <c r="I6" s="97"/>
      <c r="M6" s="47"/>
    </row>
    <row r="7" spans="1:9" ht="12.75">
      <c r="A7" s="51" t="s">
        <v>36</v>
      </c>
      <c r="B7" s="39" t="s">
        <v>57</v>
      </c>
      <c r="C7" s="52" t="s">
        <v>58</v>
      </c>
      <c r="D7" s="52" t="s">
        <v>60</v>
      </c>
      <c r="E7" s="41" t="s">
        <v>62</v>
      </c>
      <c r="F7" s="96"/>
      <c r="G7" s="96">
        <f>+G39</f>
        <v>972691.5309104908</v>
      </c>
      <c r="H7" s="96"/>
      <c r="I7" s="97"/>
    </row>
    <row r="8" spans="1:9" ht="12.75">
      <c r="A8" s="51" t="s">
        <v>36</v>
      </c>
      <c r="B8" s="39" t="s">
        <v>57</v>
      </c>
      <c r="C8" s="52" t="s">
        <v>58</v>
      </c>
      <c r="D8" s="52" t="s">
        <v>60</v>
      </c>
      <c r="E8" s="41" t="s">
        <v>63</v>
      </c>
      <c r="F8" s="96"/>
      <c r="G8" s="96">
        <f>+G42</f>
        <v>951976.006214011</v>
      </c>
      <c r="H8" s="96"/>
      <c r="I8" s="97"/>
    </row>
    <row r="9" spans="1:9" ht="12.75">
      <c r="A9" s="51" t="s">
        <v>36</v>
      </c>
      <c r="B9" s="39" t="s">
        <v>57</v>
      </c>
      <c r="C9" s="52" t="s">
        <v>58</v>
      </c>
      <c r="D9" s="52" t="s">
        <v>60</v>
      </c>
      <c r="E9" s="41" t="s">
        <v>64</v>
      </c>
      <c r="F9" s="96"/>
      <c r="G9" s="96">
        <f>+G45</f>
        <v>931052.6349858351</v>
      </c>
      <c r="H9" s="96"/>
      <c r="I9" s="97"/>
    </row>
    <row r="10" spans="1:9" ht="12.75">
      <c r="A10" s="51" t="s">
        <v>36</v>
      </c>
      <c r="B10" s="39" t="s">
        <v>57</v>
      </c>
      <c r="C10" s="52" t="s">
        <v>58</v>
      </c>
      <c r="D10" s="52" t="s">
        <v>60</v>
      </c>
      <c r="E10" s="41" t="s">
        <v>65</v>
      </c>
      <c r="F10" s="96"/>
      <c r="G10" s="96">
        <f>+G48</f>
        <v>1798493.3222305898</v>
      </c>
      <c r="H10" s="96"/>
      <c r="I10" s="97"/>
    </row>
    <row r="11" spans="1:9" ht="12.75">
      <c r="A11" s="51" t="s">
        <v>36</v>
      </c>
      <c r="B11" s="39" t="s">
        <v>57</v>
      </c>
      <c r="C11" s="52" t="s">
        <v>58</v>
      </c>
      <c r="D11" s="52" t="s">
        <v>60</v>
      </c>
      <c r="E11" s="41" t="s">
        <v>66</v>
      </c>
      <c r="F11" s="96"/>
      <c r="G11" s="96">
        <f>+G54</f>
        <v>1712253.1448866096</v>
      </c>
      <c r="H11" s="96"/>
      <c r="I11" s="97"/>
    </row>
    <row r="12" spans="1:9" ht="12.75">
      <c r="A12" s="51" t="s">
        <v>36</v>
      </c>
      <c r="B12" s="39" t="s">
        <v>57</v>
      </c>
      <c r="C12" s="52" t="s">
        <v>58</v>
      </c>
      <c r="D12" s="52" t="s">
        <v>60</v>
      </c>
      <c r="E12" s="41" t="s">
        <v>67</v>
      </c>
      <c r="F12" s="96"/>
      <c r="G12" s="96">
        <f>+G60</f>
        <v>3158793.7179520093</v>
      </c>
      <c r="H12" s="96"/>
      <c r="I12" s="97"/>
    </row>
    <row r="13" spans="1:14" ht="12.75">
      <c r="A13" s="51" t="s">
        <v>36</v>
      </c>
      <c r="B13" s="39" t="s">
        <v>57</v>
      </c>
      <c r="C13" s="52" t="s">
        <v>58</v>
      </c>
      <c r="D13" s="52" t="s">
        <v>60</v>
      </c>
      <c r="E13" s="41" t="s">
        <v>68</v>
      </c>
      <c r="F13" s="96"/>
      <c r="G13" s="96">
        <f>+G72</f>
        <v>2792501.870750967</v>
      </c>
      <c r="H13" s="96"/>
      <c r="I13" s="97"/>
      <c r="M13" s="47"/>
      <c r="N13" s="100"/>
    </row>
    <row r="14" spans="1:14" ht="12.75">
      <c r="A14" s="51" t="s">
        <v>36</v>
      </c>
      <c r="B14" s="39" t="s">
        <v>57</v>
      </c>
      <c r="C14" s="52" t="s">
        <v>58</v>
      </c>
      <c r="D14" s="52" t="s">
        <v>60</v>
      </c>
      <c r="E14" s="41" t="s">
        <v>107</v>
      </c>
      <c r="F14" s="96"/>
      <c r="G14" s="96">
        <f>+G84</f>
        <v>2411286.7285360135</v>
      </c>
      <c r="H14" s="96"/>
      <c r="I14" s="97"/>
      <c r="M14" s="47"/>
      <c r="N14" s="49"/>
    </row>
    <row r="15" spans="1:14" ht="12.75">
      <c r="A15" s="51" t="s">
        <v>36</v>
      </c>
      <c r="B15" s="39" t="s">
        <v>57</v>
      </c>
      <c r="C15" s="52" t="s">
        <v>58</v>
      </c>
      <c r="D15" s="52" t="s">
        <v>59</v>
      </c>
      <c r="E15" s="41" t="s">
        <v>74</v>
      </c>
      <c r="F15" s="96"/>
      <c r="G15" s="96">
        <f>+H36</f>
        <v>679118.0483154815</v>
      </c>
      <c r="H15" s="96"/>
      <c r="I15" s="97"/>
      <c r="M15" s="47"/>
      <c r="N15" s="49"/>
    </row>
    <row r="16" spans="1:9" ht="12.75">
      <c r="A16" s="51" t="s">
        <v>36</v>
      </c>
      <c r="B16" s="39" t="s">
        <v>57</v>
      </c>
      <c r="C16" s="52" t="s">
        <v>58</v>
      </c>
      <c r="D16" s="52" t="s">
        <v>59</v>
      </c>
      <c r="E16" s="41" t="s">
        <v>61</v>
      </c>
      <c r="F16" s="96"/>
      <c r="G16" s="96">
        <f>+H37</f>
        <v>1365034.8228702103</v>
      </c>
      <c r="H16" s="96"/>
      <c r="I16" s="97"/>
    </row>
    <row r="17" spans="1:9" ht="12.75">
      <c r="A17" s="51" t="s">
        <v>36</v>
      </c>
      <c r="B17" s="39" t="s">
        <v>57</v>
      </c>
      <c r="C17" s="52" t="s">
        <v>58</v>
      </c>
      <c r="D17" s="52" t="s">
        <v>59</v>
      </c>
      <c r="E17" s="41" t="s">
        <v>62</v>
      </c>
      <c r="F17" s="96"/>
      <c r="G17" s="96">
        <f>+H39</f>
        <v>2064662.6140359538</v>
      </c>
      <c r="H17" s="96"/>
      <c r="I17" s="97"/>
    </row>
    <row r="18" spans="1:9" ht="12.75">
      <c r="A18" s="51" t="s">
        <v>36</v>
      </c>
      <c r="B18" s="39" t="s">
        <v>57</v>
      </c>
      <c r="C18" s="52" t="s">
        <v>58</v>
      </c>
      <c r="D18" s="52" t="s">
        <v>59</v>
      </c>
      <c r="E18" s="41" t="s">
        <v>63</v>
      </c>
      <c r="F18" s="96"/>
      <c r="G18" s="96">
        <f>+H42</f>
        <v>2085378.1387324336</v>
      </c>
      <c r="H18" s="96"/>
      <c r="I18" s="97"/>
    </row>
    <row r="19" spans="1:9" ht="12.75">
      <c r="A19" s="51" t="s">
        <v>36</v>
      </c>
      <c r="B19" s="39" t="s">
        <v>57</v>
      </c>
      <c r="C19" s="52" t="s">
        <v>58</v>
      </c>
      <c r="D19" s="52" t="s">
        <v>59</v>
      </c>
      <c r="E19" s="41" t="s">
        <v>64</v>
      </c>
      <c r="F19" s="96"/>
      <c r="G19" s="96">
        <f>+H45</f>
        <v>2106301.5099606095</v>
      </c>
      <c r="H19" s="96"/>
      <c r="I19" s="97"/>
    </row>
    <row r="20" spans="1:9" ht="12.75">
      <c r="A20" s="51" t="s">
        <v>36</v>
      </c>
      <c r="B20" s="39" t="s">
        <v>57</v>
      </c>
      <c r="C20" s="52" t="s">
        <v>58</v>
      </c>
      <c r="D20" s="52" t="s">
        <v>59</v>
      </c>
      <c r="E20" s="41" t="s">
        <v>65</v>
      </c>
      <c r="F20" s="96"/>
      <c r="G20" s="96">
        <f>+H48</f>
        <v>4276214.967662299</v>
      </c>
      <c r="H20" s="96"/>
      <c r="I20" s="97"/>
    </row>
    <row r="21" spans="1:9" ht="12.75">
      <c r="A21" s="51" t="s">
        <v>36</v>
      </c>
      <c r="B21" s="39" t="s">
        <v>57</v>
      </c>
      <c r="C21" s="52" t="s">
        <v>58</v>
      </c>
      <c r="D21" s="52" t="s">
        <v>59</v>
      </c>
      <c r="E21" s="41" t="s">
        <v>66</v>
      </c>
      <c r="F21" s="96"/>
      <c r="G21" s="96">
        <f>+H54</f>
        <v>4362455.145006279</v>
      </c>
      <c r="H21" s="96"/>
      <c r="I21" s="97"/>
    </row>
    <row r="22" spans="1:9" ht="12.75">
      <c r="A22" s="51" t="s">
        <v>36</v>
      </c>
      <c r="B22" s="39" t="s">
        <v>57</v>
      </c>
      <c r="C22" s="52" t="s">
        <v>58</v>
      </c>
      <c r="D22" s="52" t="s">
        <v>59</v>
      </c>
      <c r="E22" s="41" t="s">
        <v>67</v>
      </c>
      <c r="F22" s="96"/>
      <c r="G22" s="96">
        <f>+H60</f>
        <v>8990622.861833768</v>
      </c>
      <c r="H22" s="96"/>
      <c r="I22" s="97"/>
    </row>
    <row r="23" spans="1:9" ht="12.75">
      <c r="A23" s="51" t="s">
        <v>36</v>
      </c>
      <c r="B23" s="39" t="s">
        <v>57</v>
      </c>
      <c r="C23" s="52" t="s">
        <v>58</v>
      </c>
      <c r="D23" s="52" t="s">
        <v>59</v>
      </c>
      <c r="E23" s="41" t="s">
        <v>68</v>
      </c>
      <c r="F23" s="96"/>
      <c r="G23" s="96">
        <f>+H72</f>
        <v>9356914.709034812</v>
      </c>
      <c r="H23" s="96"/>
      <c r="I23" s="97"/>
    </row>
    <row r="24" spans="1:9" ht="13.5" thickBot="1">
      <c r="A24" s="98" t="s">
        <v>36</v>
      </c>
      <c r="B24" s="99" t="s">
        <v>57</v>
      </c>
      <c r="C24" s="99" t="s">
        <v>58</v>
      </c>
      <c r="D24" s="99" t="s">
        <v>59</v>
      </c>
      <c r="E24" s="99" t="s">
        <v>107</v>
      </c>
      <c r="F24" s="46"/>
      <c r="G24" s="46">
        <f>+H84+B96</f>
        <v>64713297.182548165</v>
      </c>
      <c r="H24" s="46"/>
      <c r="I24" s="14"/>
    </row>
    <row r="25" spans="5:7" ht="13.5" thickTop="1">
      <c r="E25" s="102"/>
      <c r="F25" s="102"/>
      <c r="G25" s="102"/>
    </row>
    <row r="26" spans="1:7" ht="12.75">
      <c r="A26" s="77" t="s">
        <v>40</v>
      </c>
      <c r="B26" s="78" t="s">
        <v>113</v>
      </c>
      <c r="E26" s="102"/>
      <c r="F26" s="102"/>
      <c r="G26" s="102"/>
    </row>
    <row r="27" spans="1:18" ht="12.75">
      <c r="A27" s="77" t="s">
        <v>19</v>
      </c>
      <c r="B27" s="78" t="s">
        <v>36</v>
      </c>
      <c r="E27" s="102"/>
      <c r="F27" s="102"/>
      <c r="G27" s="102"/>
      <c r="K27" s="141"/>
      <c r="L27" s="141"/>
      <c r="M27" s="141"/>
      <c r="N27" s="141"/>
      <c r="O27" s="141"/>
      <c r="P27" s="141"/>
      <c r="Q27" s="141"/>
      <c r="R27" s="141"/>
    </row>
    <row r="28" spans="1:18" ht="12.75">
      <c r="A28" s="77" t="s">
        <v>85</v>
      </c>
      <c r="B28" s="78" t="s">
        <v>96</v>
      </c>
      <c r="K28" s="141"/>
      <c r="L28" s="141"/>
      <c r="M28" s="141"/>
      <c r="N28" s="141"/>
      <c r="O28" s="141"/>
      <c r="P28" s="141"/>
      <c r="Q28" s="141"/>
      <c r="R28" s="141"/>
    </row>
    <row r="29" spans="1:18" ht="12.75">
      <c r="A29" s="77" t="s">
        <v>44</v>
      </c>
      <c r="B29" s="114">
        <v>0.04</v>
      </c>
      <c r="C29" s="115">
        <f>+B29/12</f>
        <v>0.0033333333333333335</v>
      </c>
      <c r="K29" s="141"/>
      <c r="L29" s="141"/>
      <c r="M29" s="141"/>
      <c r="N29" s="141"/>
      <c r="O29" s="141"/>
      <c r="P29" s="141"/>
      <c r="Q29" s="141"/>
      <c r="R29" s="141"/>
    </row>
    <row r="30" spans="1:18" ht="12.75">
      <c r="A30" s="77" t="s">
        <v>116</v>
      </c>
      <c r="B30" s="114" t="s">
        <v>111</v>
      </c>
      <c r="C30" s="115"/>
      <c r="K30" s="141"/>
      <c r="L30" s="141"/>
      <c r="M30" s="141"/>
      <c r="N30" s="141"/>
      <c r="O30" s="141"/>
      <c r="P30" s="141"/>
      <c r="Q30" s="141"/>
      <c r="R30" s="141"/>
    </row>
    <row r="31" spans="1:18" ht="12.75">
      <c r="A31" s="77" t="s">
        <v>114</v>
      </c>
      <c r="B31" s="78" t="s">
        <v>110</v>
      </c>
      <c r="D31" s="110"/>
      <c r="K31" s="141"/>
      <c r="L31" s="141"/>
      <c r="M31" s="141"/>
      <c r="N31" s="141"/>
      <c r="O31" s="141"/>
      <c r="P31" s="141"/>
      <c r="Q31" s="141"/>
      <c r="R31" s="141"/>
    </row>
    <row r="32" spans="1:18" ht="12.75">
      <c r="A32" s="77" t="s">
        <v>41</v>
      </c>
      <c r="B32" s="78" t="s">
        <v>70</v>
      </c>
      <c r="G32" s="33"/>
      <c r="H32" s="49"/>
      <c r="K32" s="141"/>
      <c r="L32" s="141"/>
      <c r="M32" s="141"/>
      <c r="N32" s="141"/>
      <c r="O32" s="141"/>
      <c r="P32" s="141"/>
      <c r="Q32" s="141"/>
      <c r="R32" s="141"/>
    </row>
    <row r="33" spans="6:18" ht="27.75" customHeight="1" thickBot="1">
      <c r="F33" s="113"/>
      <c r="H33" s="49"/>
      <c r="I33" s="100"/>
      <c r="J33" s="100"/>
      <c r="K33" s="141"/>
      <c r="L33" s="141"/>
      <c r="M33" s="141"/>
      <c r="N33" s="141"/>
      <c r="O33" s="141"/>
      <c r="P33" s="141"/>
      <c r="Q33" s="141"/>
      <c r="R33" s="141"/>
    </row>
    <row r="34" spans="1:18" ht="12.75">
      <c r="A34" s="221" t="s">
        <v>120</v>
      </c>
      <c r="B34" s="222"/>
      <c r="C34" s="222"/>
      <c r="D34" s="222"/>
      <c r="E34" s="223"/>
      <c r="F34" s="224" t="s">
        <v>106</v>
      </c>
      <c r="G34" s="225"/>
      <c r="H34" s="225"/>
      <c r="K34" s="141"/>
      <c r="L34" s="141"/>
      <c r="M34" s="141"/>
      <c r="N34" s="141"/>
      <c r="O34" s="141"/>
      <c r="P34" s="141"/>
      <c r="Q34" s="141"/>
      <c r="R34" s="141"/>
    </row>
    <row r="35" spans="1:8" s="141" customFormat="1" ht="13.5" thickBot="1">
      <c r="A35" s="142" t="s">
        <v>95</v>
      </c>
      <c r="B35" s="142" t="s">
        <v>101</v>
      </c>
      <c r="C35" s="143" t="s">
        <v>102</v>
      </c>
      <c r="D35" s="143" t="s">
        <v>44</v>
      </c>
      <c r="E35" s="145" t="s">
        <v>103</v>
      </c>
      <c r="F35" s="83" t="s">
        <v>92</v>
      </c>
      <c r="G35" s="84" t="s">
        <v>44</v>
      </c>
      <c r="H35" s="85" t="s">
        <v>103</v>
      </c>
    </row>
    <row r="36" spans="1:8" s="141" customFormat="1" ht="13.5" thickBot="1">
      <c r="A36" s="108">
        <v>1</v>
      </c>
      <c r="B36" s="104">
        <v>100000000</v>
      </c>
      <c r="C36" s="103">
        <f aca="true" t="shared" si="0" ref="C36:C67">+-PMT($C$29,120,+$B$36)</f>
        <v>1012451.3816488149</v>
      </c>
      <c r="D36" s="80">
        <f aca="true" t="shared" si="1" ref="D36:D67">+B36*$C$29</f>
        <v>333333.3333333334</v>
      </c>
      <c r="E36" s="105">
        <f>+C36-D36</f>
        <v>679118.0483154815</v>
      </c>
      <c r="F36" s="131">
        <f aca="true" t="shared" si="2" ref="F36:F67">+A36/12</f>
        <v>0.08333333333333333</v>
      </c>
      <c r="G36" s="132">
        <f>+D36</f>
        <v>333333.3333333334</v>
      </c>
      <c r="H36" s="134">
        <f>+E36</f>
        <v>679118.0483154815</v>
      </c>
    </row>
    <row r="37" spans="1:16" ht="12.75">
      <c r="A37" s="108">
        <v>2</v>
      </c>
      <c r="B37" s="106">
        <f>+B36-E36</f>
        <v>99320881.95168452</v>
      </c>
      <c r="C37" s="103">
        <f t="shared" si="0"/>
        <v>1012451.3816488149</v>
      </c>
      <c r="D37" s="80">
        <f t="shared" si="1"/>
        <v>331069.6065056151</v>
      </c>
      <c r="E37" s="105">
        <f>+C37-D37</f>
        <v>681381.7751431998</v>
      </c>
      <c r="F37" s="135">
        <f t="shared" si="2"/>
        <v>0.16666666666666666</v>
      </c>
      <c r="G37" s="215">
        <f>+D37+D38</f>
        <v>659867.9404274195</v>
      </c>
      <c r="H37" s="217">
        <f>+E37+E38</f>
        <v>1365034.8228702103</v>
      </c>
      <c r="I37" s="141"/>
      <c r="J37" s="141"/>
      <c r="K37" s="141"/>
      <c r="L37" s="141"/>
      <c r="M37" s="141"/>
      <c r="N37" s="141"/>
      <c r="O37" s="141"/>
      <c r="P37" s="141"/>
    </row>
    <row r="38" spans="1:16" ht="13.5" thickBot="1">
      <c r="A38" s="108">
        <v>3</v>
      </c>
      <c r="B38" s="106">
        <f aca="true" t="shared" si="3" ref="B38:B101">+B37-E37</f>
        <v>98639500.17654131</v>
      </c>
      <c r="C38" s="103">
        <f t="shared" si="0"/>
        <v>1012451.3816488149</v>
      </c>
      <c r="D38" s="80">
        <f t="shared" si="1"/>
        <v>328798.3339218044</v>
      </c>
      <c r="E38" s="105">
        <f aca="true" t="shared" si="4" ref="E38:E101">+C38-D38</f>
        <v>683653.0477270104</v>
      </c>
      <c r="F38" s="136">
        <f t="shared" si="2"/>
        <v>0.25</v>
      </c>
      <c r="G38" s="216"/>
      <c r="H38" s="218"/>
      <c r="I38" s="141"/>
      <c r="J38" s="141"/>
      <c r="K38" s="141"/>
      <c r="L38" s="141"/>
      <c r="M38" s="141"/>
      <c r="N38" s="141"/>
      <c r="O38" s="141"/>
      <c r="P38" s="141"/>
    </row>
    <row r="39" spans="1:16" ht="12.75">
      <c r="A39" s="108">
        <v>4</v>
      </c>
      <c r="B39" s="106">
        <f t="shared" si="3"/>
        <v>97955847.12881431</v>
      </c>
      <c r="C39" s="103">
        <f t="shared" si="0"/>
        <v>1012451.3816488149</v>
      </c>
      <c r="D39" s="80">
        <f t="shared" si="1"/>
        <v>326519.490429381</v>
      </c>
      <c r="E39" s="105">
        <f t="shared" si="4"/>
        <v>685931.8912194339</v>
      </c>
      <c r="F39" s="135">
        <f t="shared" si="2"/>
        <v>0.3333333333333333</v>
      </c>
      <c r="G39" s="215">
        <f>+D39+D40+D41</f>
        <v>972691.5309104908</v>
      </c>
      <c r="H39" s="217">
        <f>+E39+E40+E41</f>
        <v>2064662.6140359538</v>
      </c>
      <c r="I39" s="141"/>
      <c r="J39" s="141"/>
      <c r="K39" s="141"/>
      <c r="L39" s="141"/>
      <c r="M39" s="141"/>
      <c r="N39" s="141"/>
      <c r="O39" s="141"/>
      <c r="P39" s="141"/>
    </row>
    <row r="40" spans="1:16" ht="12.75">
      <c r="A40" s="108">
        <v>5</v>
      </c>
      <c r="B40" s="106">
        <f t="shared" si="3"/>
        <v>97269915.23759487</v>
      </c>
      <c r="C40" s="103">
        <f t="shared" si="0"/>
        <v>1012451.3816488149</v>
      </c>
      <c r="D40" s="80">
        <f t="shared" si="1"/>
        <v>324233.0507919829</v>
      </c>
      <c r="E40" s="105">
        <f t="shared" si="4"/>
        <v>688218.330856832</v>
      </c>
      <c r="F40" s="137">
        <f t="shared" si="2"/>
        <v>0.4166666666666667</v>
      </c>
      <c r="G40" s="219"/>
      <c r="H40" s="220"/>
      <c r="I40" s="141"/>
      <c r="J40" s="141"/>
      <c r="K40" s="141"/>
      <c r="L40" s="141"/>
      <c r="M40" s="141"/>
      <c r="N40" s="141"/>
      <c r="O40" s="141"/>
      <c r="P40" s="141"/>
    </row>
    <row r="41" spans="1:8" ht="13.5" thickBot="1">
      <c r="A41" s="108">
        <v>6</v>
      </c>
      <c r="B41" s="106">
        <f t="shared" si="3"/>
        <v>96581696.90673804</v>
      </c>
      <c r="C41" s="103">
        <f t="shared" si="0"/>
        <v>1012451.3816488149</v>
      </c>
      <c r="D41" s="80">
        <f t="shared" si="1"/>
        <v>321938.98968912684</v>
      </c>
      <c r="E41" s="105">
        <f t="shared" si="4"/>
        <v>690512.391959688</v>
      </c>
      <c r="F41" s="136">
        <f t="shared" si="2"/>
        <v>0.5</v>
      </c>
      <c r="G41" s="216"/>
      <c r="H41" s="218"/>
    </row>
    <row r="42" spans="1:8" ht="12.75">
      <c r="A42" s="108">
        <v>7</v>
      </c>
      <c r="B42" s="106">
        <f t="shared" si="3"/>
        <v>95891184.51477836</v>
      </c>
      <c r="C42" s="103">
        <f t="shared" si="0"/>
        <v>1012451.3816488149</v>
      </c>
      <c r="D42" s="80">
        <f t="shared" si="1"/>
        <v>319637.2817159279</v>
      </c>
      <c r="E42" s="105">
        <f t="shared" si="4"/>
        <v>692814.099932887</v>
      </c>
      <c r="F42" s="135">
        <f t="shared" si="2"/>
        <v>0.5833333333333334</v>
      </c>
      <c r="G42" s="215">
        <f>+D42+D43+D44</f>
        <v>951976.006214011</v>
      </c>
      <c r="H42" s="217">
        <f>+E42+E43+E44</f>
        <v>2085378.1387324336</v>
      </c>
    </row>
    <row r="43" spans="1:8" ht="12.75">
      <c r="A43" s="108">
        <v>8</v>
      </c>
      <c r="B43" s="106">
        <f t="shared" si="3"/>
        <v>95198370.41484547</v>
      </c>
      <c r="C43" s="103">
        <f t="shared" si="0"/>
        <v>1012451.3816488149</v>
      </c>
      <c r="D43" s="80">
        <f t="shared" si="1"/>
        <v>317327.90138281824</v>
      </c>
      <c r="E43" s="105">
        <f t="shared" si="4"/>
        <v>695123.4802659967</v>
      </c>
      <c r="F43" s="137">
        <f t="shared" si="2"/>
        <v>0.6666666666666666</v>
      </c>
      <c r="G43" s="219"/>
      <c r="H43" s="220"/>
    </row>
    <row r="44" spans="1:8" ht="13.5" thickBot="1">
      <c r="A44" s="108">
        <v>9</v>
      </c>
      <c r="B44" s="106">
        <f t="shared" si="3"/>
        <v>94503246.93457948</v>
      </c>
      <c r="C44" s="103">
        <f t="shared" si="0"/>
        <v>1012451.3816488149</v>
      </c>
      <c r="D44" s="80">
        <f t="shared" si="1"/>
        <v>315010.82311526494</v>
      </c>
      <c r="E44" s="105">
        <f t="shared" si="4"/>
        <v>697440.55853355</v>
      </c>
      <c r="F44" s="136">
        <f t="shared" si="2"/>
        <v>0.75</v>
      </c>
      <c r="G44" s="216"/>
      <c r="H44" s="218"/>
    </row>
    <row r="45" spans="1:8" ht="12.75">
      <c r="A45" s="108">
        <v>10</v>
      </c>
      <c r="B45" s="106">
        <f t="shared" si="3"/>
        <v>93805806.37604593</v>
      </c>
      <c r="C45" s="103">
        <f t="shared" si="0"/>
        <v>1012451.3816488149</v>
      </c>
      <c r="D45" s="80">
        <f t="shared" si="1"/>
        <v>312686.02125348645</v>
      </c>
      <c r="E45" s="105">
        <f t="shared" si="4"/>
        <v>699765.3603953284</v>
      </c>
      <c r="F45" s="138">
        <f t="shared" si="2"/>
        <v>0.8333333333333334</v>
      </c>
      <c r="G45" s="215">
        <f>+D45+D46+D47</f>
        <v>931052.6349858351</v>
      </c>
      <c r="H45" s="217">
        <f>+E45+E46+E47</f>
        <v>2106301.5099606095</v>
      </c>
    </row>
    <row r="46" spans="1:8" ht="12.75">
      <c r="A46" s="108">
        <v>11</v>
      </c>
      <c r="B46" s="106">
        <f t="shared" si="3"/>
        <v>93106041.0156506</v>
      </c>
      <c r="C46" s="103">
        <f t="shared" si="0"/>
        <v>1012451.3816488149</v>
      </c>
      <c r="D46" s="80">
        <f t="shared" si="1"/>
        <v>310353.4700521687</v>
      </c>
      <c r="E46" s="105">
        <f t="shared" si="4"/>
        <v>702097.9115966462</v>
      </c>
      <c r="F46" s="139">
        <f t="shared" si="2"/>
        <v>0.9166666666666666</v>
      </c>
      <c r="G46" s="219"/>
      <c r="H46" s="220"/>
    </row>
    <row r="47" spans="1:8" ht="13.5" thickBot="1">
      <c r="A47" s="108">
        <v>12</v>
      </c>
      <c r="B47" s="106">
        <f t="shared" si="3"/>
        <v>92403943.10405396</v>
      </c>
      <c r="C47" s="103">
        <f t="shared" si="0"/>
        <v>1012451.3816488149</v>
      </c>
      <c r="D47" s="80">
        <f t="shared" si="1"/>
        <v>308013.1436801799</v>
      </c>
      <c r="E47" s="105">
        <f t="shared" si="4"/>
        <v>704438.237968635</v>
      </c>
      <c r="F47" s="140">
        <f t="shared" si="2"/>
        <v>1</v>
      </c>
      <c r="G47" s="216"/>
      <c r="H47" s="218"/>
    </row>
    <row r="48" spans="1:8" ht="12.75">
      <c r="A48" s="108">
        <v>13</v>
      </c>
      <c r="B48" s="106">
        <f t="shared" si="3"/>
        <v>91699504.86608532</v>
      </c>
      <c r="C48" s="103">
        <f t="shared" si="0"/>
        <v>1012451.3816488149</v>
      </c>
      <c r="D48" s="80">
        <f t="shared" si="1"/>
        <v>305665.0162202844</v>
      </c>
      <c r="E48" s="105">
        <f t="shared" si="4"/>
        <v>706786.3654285305</v>
      </c>
      <c r="F48" s="138">
        <f t="shared" si="2"/>
        <v>1.0833333333333333</v>
      </c>
      <c r="G48" s="226">
        <f>+SUM(D48:D53)</f>
        <v>1798493.3222305898</v>
      </c>
      <c r="H48" s="229">
        <f>+SUM(E48:E53)</f>
        <v>4276214.967662299</v>
      </c>
    </row>
    <row r="49" spans="1:8" ht="12.75">
      <c r="A49" s="108">
        <v>14</v>
      </c>
      <c r="B49" s="106">
        <f t="shared" si="3"/>
        <v>90992718.50065678</v>
      </c>
      <c r="C49" s="103">
        <f t="shared" si="0"/>
        <v>1012451.3816488149</v>
      </c>
      <c r="D49" s="80">
        <f t="shared" si="1"/>
        <v>303309.06166885595</v>
      </c>
      <c r="E49" s="105">
        <f t="shared" si="4"/>
        <v>709142.3199799589</v>
      </c>
      <c r="F49" s="139">
        <f t="shared" si="2"/>
        <v>1.1666666666666667</v>
      </c>
      <c r="G49" s="227"/>
      <c r="H49" s="230"/>
    </row>
    <row r="50" spans="1:8" ht="12.75">
      <c r="A50" s="108">
        <v>15</v>
      </c>
      <c r="B50" s="106">
        <f t="shared" si="3"/>
        <v>90283576.18067682</v>
      </c>
      <c r="C50" s="103">
        <f t="shared" si="0"/>
        <v>1012451.3816488149</v>
      </c>
      <c r="D50" s="80">
        <f t="shared" si="1"/>
        <v>300945.2539355894</v>
      </c>
      <c r="E50" s="105">
        <f t="shared" si="4"/>
        <v>711506.1277132255</v>
      </c>
      <c r="F50" s="139">
        <f t="shared" si="2"/>
        <v>1.25</v>
      </c>
      <c r="G50" s="227"/>
      <c r="H50" s="230"/>
    </row>
    <row r="51" spans="1:8" ht="12.75">
      <c r="A51" s="108">
        <v>16</v>
      </c>
      <c r="B51" s="106">
        <f t="shared" si="3"/>
        <v>89572070.0529636</v>
      </c>
      <c r="C51" s="103">
        <f t="shared" si="0"/>
        <v>1012451.3816488149</v>
      </c>
      <c r="D51" s="80">
        <f t="shared" si="1"/>
        <v>298573.566843212</v>
      </c>
      <c r="E51" s="105">
        <f t="shared" si="4"/>
        <v>713877.8148056029</v>
      </c>
      <c r="F51" s="139">
        <f t="shared" si="2"/>
        <v>1.3333333333333333</v>
      </c>
      <c r="G51" s="227"/>
      <c r="H51" s="230"/>
    </row>
    <row r="52" spans="1:8" ht="12.75">
      <c r="A52" s="108">
        <v>17</v>
      </c>
      <c r="B52" s="106">
        <f t="shared" si="3"/>
        <v>88858192.238158</v>
      </c>
      <c r="C52" s="103">
        <f t="shared" si="0"/>
        <v>1012451.3816488149</v>
      </c>
      <c r="D52" s="80">
        <f t="shared" si="1"/>
        <v>296193.9741271934</v>
      </c>
      <c r="E52" s="105">
        <f t="shared" si="4"/>
        <v>716257.4075216216</v>
      </c>
      <c r="F52" s="139">
        <f t="shared" si="2"/>
        <v>1.4166666666666667</v>
      </c>
      <c r="G52" s="227"/>
      <c r="H52" s="230"/>
    </row>
    <row r="53" spans="1:8" ht="13.5" thickBot="1">
      <c r="A53" s="108">
        <v>18</v>
      </c>
      <c r="B53" s="106">
        <f t="shared" si="3"/>
        <v>88141934.83063638</v>
      </c>
      <c r="C53" s="103">
        <f t="shared" si="0"/>
        <v>1012451.3816488149</v>
      </c>
      <c r="D53" s="80">
        <f t="shared" si="1"/>
        <v>293806.4494354546</v>
      </c>
      <c r="E53" s="105">
        <f t="shared" si="4"/>
        <v>718644.9322133602</v>
      </c>
      <c r="F53" s="140">
        <f t="shared" si="2"/>
        <v>1.5</v>
      </c>
      <c r="G53" s="228"/>
      <c r="H53" s="231"/>
    </row>
    <row r="54" spans="1:8" ht="12.75">
      <c r="A54" s="108">
        <v>19</v>
      </c>
      <c r="B54" s="106">
        <f t="shared" si="3"/>
        <v>87423289.89842302</v>
      </c>
      <c r="C54" s="103">
        <f t="shared" si="0"/>
        <v>1012451.3816488149</v>
      </c>
      <c r="D54" s="80">
        <f t="shared" si="1"/>
        <v>291410.9663280767</v>
      </c>
      <c r="E54" s="105">
        <f t="shared" si="4"/>
        <v>721040.4153207382</v>
      </c>
      <c r="F54" s="138">
        <f t="shared" si="2"/>
        <v>1.5833333333333333</v>
      </c>
      <c r="G54" s="226">
        <f>+SUM(D54:D59)</f>
        <v>1712253.1448866096</v>
      </c>
      <c r="H54" s="229">
        <f>+SUM(E54:E59)</f>
        <v>4362455.145006279</v>
      </c>
    </row>
    <row r="55" spans="1:8" ht="12.75">
      <c r="A55" s="108">
        <v>20</v>
      </c>
      <c r="B55" s="106">
        <f t="shared" si="3"/>
        <v>86702249.48310228</v>
      </c>
      <c r="C55" s="103">
        <f t="shared" si="0"/>
        <v>1012451.3816488149</v>
      </c>
      <c r="D55" s="80">
        <f t="shared" si="1"/>
        <v>289007.4982770076</v>
      </c>
      <c r="E55" s="105">
        <f t="shared" si="4"/>
        <v>723443.8833718073</v>
      </c>
      <c r="F55" s="139">
        <f t="shared" si="2"/>
        <v>1.6666666666666667</v>
      </c>
      <c r="G55" s="227"/>
      <c r="H55" s="230"/>
    </row>
    <row r="56" spans="1:8" ht="12.75">
      <c r="A56" s="108">
        <v>21</v>
      </c>
      <c r="B56" s="106">
        <f t="shared" si="3"/>
        <v>85978805.59973048</v>
      </c>
      <c r="C56" s="103">
        <f t="shared" si="0"/>
        <v>1012451.3816488149</v>
      </c>
      <c r="D56" s="80">
        <f t="shared" si="1"/>
        <v>286596.01866576826</v>
      </c>
      <c r="E56" s="105">
        <f t="shared" si="4"/>
        <v>725855.3629830466</v>
      </c>
      <c r="F56" s="139">
        <f t="shared" si="2"/>
        <v>1.75</v>
      </c>
      <c r="G56" s="227"/>
      <c r="H56" s="230"/>
    </row>
    <row r="57" spans="1:8" ht="12.75">
      <c r="A57" s="108">
        <v>22</v>
      </c>
      <c r="B57" s="106">
        <f t="shared" si="3"/>
        <v>85252950.23674743</v>
      </c>
      <c r="C57" s="103">
        <f t="shared" si="0"/>
        <v>1012451.3816488149</v>
      </c>
      <c r="D57" s="80">
        <f t="shared" si="1"/>
        <v>284176.5007891581</v>
      </c>
      <c r="E57" s="105">
        <f t="shared" si="4"/>
        <v>728274.8808596567</v>
      </c>
      <c r="F57" s="139">
        <f t="shared" si="2"/>
        <v>1.8333333333333333</v>
      </c>
      <c r="G57" s="227"/>
      <c r="H57" s="230"/>
    </row>
    <row r="58" spans="1:8" ht="12.75">
      <c r="A58" s="108">
        <v>23</v>
      </c>
      <c r="B58" s="106">
        <f t="shared" si="3"/>
        <v>84524675.35588777</v>
      </c>
      <c r="C58" s="103">
        <f t="shared" si="0"/>
        <v>1012451.3816488149</v>
      </c>
      <c r="D58" s="80">
        <f t="shared" si="1"/>
        <v>281748.91785295925</v>
      </c>
      <c r="E58" s="105">
        <f t="shared" si="4"/>
        <v>730702.4637958556</v>
      </c>
      <c r="F58" s="139">
        <f t="shared" si="2"/>
        <v>1.9166666666666667</v>
      </c>
      <c r="G58" s="227"/>
      <c r="H58" s="230"/>
    </row>
    <row r="59" spans="1:8" ht="13.5" thickBot="1">
      <c r="A59" s="108">
        <v>24</v>
      </c>
      <c r="B59" s="106">
        <f t="shared" si="3"/>
        <v>83793972.89209192</v>
      </c>
      <c r="C59" s="103">
        <f t="shared" si="0"/>
        <v>1012451.3816488149</v>
      </c>
      <c r="D59" s="80">
        <f t="shared" si="1"/>
        <v>279313.24297363975</v>
      </c>
      <c r="E59" s="105">
        <f t="shared" si="4"/>
        <v>733138.1386751751</v>
      </c>
      <c r="F59" s="140">
        <f t="shared" si="2"/>
        <v>2</v>
      </c>
      <c r="G59" s="228"/>
      <c r="H59" s="231"/>
    </row>
    <row r="60" spans="1:8" ht="12.75">
      <c r="A60" s="108">
        <v>25</v>
      </c>
      <c r="B60" s="106">
        <f t="shared" si="3"/>
        <v>83060834.75341675</v>
      </c>
      <c r="C60" s="103">
        <f t="shared" si="0"/>
        <v>1012451.3816488149</v>
      </c>
      <c r="D60" s="80">
        <f t="shared" si="1"/>
        <v>276869.44917805586</v>
      </c>
      <c r="E60" s="105">
        <f t="shared" si="4"/>
        <v>735581.932470759</v>
      </c>
      <c r="F60" s="138">
        <f t="shared" si="2"/>
        <v>2.0833333333333335</v>
      </c>
      <c r="G60" s="226">
        <f>+SUM(D60:D71)</f>
        <v>3158793.7179520093</v>
      </c>
      <c r="H60" s="229">
        <f>+SUM(E60:E71)</f>
        <v>8990622.861833768</v>
      </c>
    </row>
    <row r="61" spans="1:8" ht="12.75">
      <c r="A61" s="108">
        <v>26</v>
      </c>
      <c r="B61" s="106">
        <f t="shared" si="3"/>
        <v>82325252.820946</v>
      </c>
      <c r="C61" s="103">
        <f t="shared" si="0"/>
        <v>1012451.3816488149</v>
      </c>
      <c r="D61" s="80">
        <f t="shared" si="1"/>
        <v>274417.5094031533</v>
      </c>
      <c r="E61" s="105">
        <f t="shared" si="4"/>
        <v>738033.8722456616</v>
      </c>
      <c r="F61" s="139">
        <f t="shared" si="2"/>
        <v>2.1666666666666665</v>
      </c>
      <c r="G61" s="227"/>
      <c r="H61" s="230"/>
    </row>
    <row r="62" spans="1:8" ht="12.75">
      <c r="A62" s="108">
        <v>27</v>
      </c>
      <c r="B62" s="106">
        <f t="shared" si="3"/>
        <v>81587218.94870034</v>
      </c>
      <c r="C62" s="103">
        <f t="shared" si="0"/>
        <v>1012451.3816488149</v>
      </c>
      <c r="D62" s="80">
        <f t="shared" si="1"/>
        <v>271957.3964956678</v>
      </c>
      <c r="E62" s="105">
        <f t="shared" si="4"/>
        <v>740493.985153147</v>
      </c>
      <c r="F62" s="139">
        <f t="shared" si="2"/>
        <v>2.25</v>
      </c>
      <c r="G62" s="227"/>
      <c r="H62" s="230"/>
    </row>
    <row r="63" spans="1:8" ht="12.75">
      <c r="A63" s="108">
        <v>28</v>
      </c>
      <c r="B63" s="106">
        <f t="shared" si="3"/>
        <v>80846724.96354719</v>
      </c>
      <c r="C63" s="103">
        <f t="shared" si="0"/>
        <v>1012451.3816488149</v>
      </c>
      <c r="D63" s="80">
        <f t="shared" si="1"/>
        <v>269489.08321182395</v>
      </c>
      <c r="E63" s="105">
        <f t="shared" si="4"/>
        <v>742962.2984369909</v>
      </c>
      <c r="F63" s="139">
        <f t="shared" si="2"/>
        <v>2.3333333333333335</v>
      </c>
      <c r="G63" s="227"/>
      <c r="H63" s="230"/>
    </row>
    <row r="64" spans="1:8" ht="12.75">
      <c r="A64" s="108">
        <v>29</v>
      </c>
      <c r="B64" s="106">
        <f t="shared" si="3"/>
        <v>80103762.6651102</v>
      </c>
      <c r="C64" s="103">
        <f t="shared" si="0"/>
        <v>1012451.3816488149</v>
      </c>
      <c r="D64" s="80">
        <f t="shared" si="1"/>
        <v>267012.54221703403</v>
      </c>
      <c r="E64" s="105">
        <f t="shared" si="4"/>
        <v>745438.8394317809</v>
      </c>
      <c r="F64" s="139">
        <f t="shared" si="2"/>
        <v>2.4166666666666665</v>
      </c>
      <c r="G64" s="227"/>
      <c r="H64" s="230"/>
    </row>
    <row r="65" spans="1:8" ht="12.75">
      <c r="A65" s="108">
        <v>30</v>
      </c>
      <c r="B65" s="106">
        <f t="shared" si="3"/>
        <v>79358323.82567842</v>
      </c>
      <c r="C65" s="103">
        <f t="shared" si="0"/>
        <v>1012451.3816488149</v>
      </c>
      <c r="D65" s="80">
        <f t="shared" si="1"/>
        <v>264527.74608559476</v>
      </c>
      <c r="E65" s="105">
        <f t="shared" si="4"/>
        <v>747923.6355632201</v>
      </c>
      <c r="F65" s="139">
        <f t="shared" si="2"/>
        <v>2.5</v>
      </c>
      <c r="G65" s="227"/>
      <c r="H65" s="230"/>
    </row>
    <row r="66" spans="1:8" ht="12.75">
      <c r="A66" s="108">
        <v>31</v>
      </c>
      <c r="B66" s="106">
        <f t="shared" si="3"/>
        <v>78610400.1901152</v>
      </c>
      <c r="C66" s="103">
        <f t="shared" si="0"/>
        <v>1012451.3816488149</v>
      </c>
      <c r="D66" s="80">
        <f t="shared" si="1"/>
        <v>262034.66730038403</v>
      </c>
      <c r="E66" s="105">
        <f t="shared" si="4"/>
        <v>750416.7143484309</v>
      </c>
      <c r="F66" s="139">
        <f t="shared" si="2"/>
        <v>2.5833333333333335</v>
      </c>
      <c r="G66" s="227"/>
      <c r="H66" s="230"/>
    </row>
    <row r="67" spans="1:8" ht="12.75">
      <c r="A67" s="108">
        <v>32</v>
      </c>
      <c r="B67" s="106">
        <f t="shared" si="3"/>
        <v>77859983.47576676</v>
      </c>
      <c r="C67" s="103">
        <f t="shared" si="0"/>
        <v>1012451.3816488149</v>
      </c>
      <c r="D67" s="80">
        <f t="shared" si="1"/>
        <v>259533.2782525559</v>
      </c>
      <c r="E67" s="105">
        <f t="shared" si="4"/>
        <v>752918.103396259</v>
      </c>
      <c r="F67" s="139">
        <f t="shared" si="2"/>
        <v>2.6666666666666665</v>
      </c>
      <c r="G67" s="227"/>
      <c r="H67" s="230"/>
    </row>
    <row r="68" spans="1:8" ht="12.75">
      <c r="A68" s="108">
        <v>33</v>
      </c>
      <c r="B68" s="106">
        <f t="shared" si="3"/>
        <v>77107065.37237051</v>
      </c>
      <c r="C68" s="103">
        <f aca="true" t="shared" si="5" ref="C68:C99">+-PMT($C$29,120,+$B$36)</f>
        <v>1012451.3816488149</v>
      </c>
      <c r="D68" s="80">
        <f aca="true" t="shared" si="6" ref="D68:D99">+B68*$C$29</f>
        <v>257023.55124123505</v>
      </c>
      <c r="E68" s="105">
        <f t="shared" si="4"/>
        <v>755427.8304075799</v>
      </c>
      <c r="F68" s="139">
        <f aca="true" t="shared" si="7" ref="F68:F95">+A68/12</f>
        <v>2.75</v>
      </c>
      <c r="G68" s="227"/>
      <c r="H68" s="230"/>
    </row>
    <row r="69" spans="1:8" ht="12.75">
      <c r="A69" s="108">
        <v>34</v>
      </c>
      <c r="B69" s="106">
        <f t="shared" si="3"/>
        <v>76351637.54196294</v>
      </c>
      <c r="C69" s="103">
        <f t="shared" si="5"/>
        <v>1012451.3816488149</v>
      </c>
      <c r="D69" s="80">
        <f t="shared" si="6"/>
        <v>254505.45847320982</v>
      </c>
      <c r="E69" s="105">
        <f t="shared" si="4"/>
        <v>757945.923175605</v>
      </c>
      <c r="F69" s="139">
        <f t="shared" si="7"/>
        <v>2.8333333333333335</v>
      </c>
      <c r="G69" s="227"/>
      <c r="H69" s="230"/>
    </row>
    <row r="70" spans="1:8" ht="12.75">
      <c r="A70" s="108">
        <v>35</v>
      </c>
      <c r="B70" s="106">
        <f t="shared" si="3"/>
        <v>75593691.61878733</v>
      </c>
      <c r="C70" s="103">
        <f t="shared" si="5"/>
        <v>1012451.3816488149</v>
      </c>
      <c r="D70" s="80">
        <f t="shared" si="6"/>
        <v>251978.97206262447</v>
      </c>
      <c r="E70" s="105">
        <f t="shared" si="4"/>
        <v>760472.4095861905</v>
      </c>
      <c r="F70" s="139">
        <f t="shared" si="7"/>
        <v>2.9166666666666665</v>
      </c>
      <c r="G70" s="227"/>
      <c r="H70" s="230"/>
    </row>
    <row r="71" spans="1:8" ht="13.5" thickBot="1">
      <c r="A71" s="108">
        <v>36</v>
      </c>
      <c r="B71" s="106">
        <f t="shared" si="3"/>
        <v>74833219.20920114</v>
      </c>
      <c r="C71" s="103">
        <f t="shared" si="5"/>
        <v>1012451.3816488149</v>
      </c>
      <c r="D71" s="80">
        <f t="shared" si="6"/>
        <v>249444.0640306705</v>
      </c>
      <c r="E71" s="105">
        <f t="shared" si="4"/>
        <v>763007.3176181444</v>
      </c>
      <c r="F71" s="140">
        <f t="shared" si="7"/>
        <v>3</v>
      </c>
      <c r="G71" s="228"/>
      <c r="H71" s="231"/>
    </row>
    <row r="72" spans="1:8" ht="12.75">
      <c r="A72" s="108">
        <v>37</v>
      </c>
      <c r="B72" s="106">
        <f t="shared" si="3"/>
        <v>74070211.891583</v>
      </c>
      <c r="C72" s="103">
        <f t="shared" si="5"/>
        <v>1012451.3816488149</v>
      </c>
      <c r="D72" s="80">
        <f t="shared" si="6"/>
        <v>246900.70630527666</v>
      </c>
      <c r="E72" s="105">
        <f t="shared" si="4"/>
        <v>765550.6753435382</v>
      </c>
      <c r="F72" s="138">
        <f t="shared" si="7"/>
        <v>3.0833333333333335</v>
      </c>
      <c r="G72" s="226">
        <f>+SUM(D72:D83)</f>
        <v>2792501.870750967</v>
      </c>
      <c r="H72" s="229">
        <f>+SUM(E72:E83)</f>
        <v>9356914.709034812</v>
      </c>
    </row>
    <row r="73" spans="1:8" ht="12.75">
      <c r="A73" s="108">
        <v>38</v>
      </c>
      <c r="B73" s="106">
        <f t="shared" si="3"/>
        <v>73304661.21623945</v>
      </c>
      <c r="C73" s="103">
        <f t="shared" si="5"/>
        <v>1012451.3816488149</v>
      </c>
      <c r="D73" s="80">
        <f t="shared" si="6"/>
        <v>244348.87072079818</v>
      </c>
      <c r="E73" s="105">
        <f t="shared" si="4"/>
        <v>768102.5109280167</v>
      </c>
      <c r="F73" s="139">
        <f t="shared" si="7"/>
        <v>3.1666666666666665</v>
      </c>
      <c r="G73" s="227"/>
      <c r="H73" s="230"/>
    </row>
    <row r="74" spans="1:8" ht="12.75">
      <c r="A74" s="108">
        <v>39</v>
      </c>
      <c r="B74" s="106">
        <f t="shared" si="3"/>
        <v>72536558.70531143</v>
      </c>
      <c r="C74" s="103">
        <f t="shared" si="5"/>
        <v>1012451.3816488149</v>
      </c>
      <c r="D74" s="80">
        <f t="shared" si="6"/>
        <v>241788.5290177048</v>
      </c>
      <c r="E74" s="105">
        <f t="shared" si="4"/>
        <v>770662.8526311101</v>
      </c>
      <c r="F74" s="139">
        <f t="shared" si="7"/>
        <v>3.25</v>
      </c>
      <c r="G74" s="227"/>
      <c r="H74" s="230"/>
    </row>
    <row r="75" spans="1:8" ht="12.75">
      <c r="A75" s="108">
        <v>40</v>
      </c>
      <c r="B75" s="106">
        <f t="shared" si="3"/>
        <v>71765895.85268033</v>
      </c>
      <c r="C75" s="103">
        <f t="shared" si="5"/>
        <v>1012451.3816488149</v>
      </c>
      <c r="D75" s="80">
        <f t="shared" si="6"/>
        <v>239219.65284226777</v>
      </c>
      <c r="E75" s="105">
        <f t="shared" si="4"/>
        <v>773231.7288065471</v>
      </c>
      <c r="F75" s="139">
        <f t="shared" si="7"/>
        <v>3.3333333333333335</v>
      </c>
      <c r="G75" s="227"/>
      <c r="H75" s="230"/>
    </row>
    <row r="76" spans="1:8" ht="12.75">
      <c r="A76" s="108">
        <v>41</v>
      </c>
      <c r="B76" s="121">
        <f t="shared" si="3"/>
        <v>70992664.12387379</v>
      </c>
      <c r="C76" s="119">
        <f t="shared" si="5"/>
        <v>1012451.3816488149</v>
      </c>
      <c r="D76" s="81">
        <f t="shared" si="6"/>
        <v>236642.21374624598</v>
      </c>
      <c r="E76" s="122">
        <f t="shared" si="4"/>
        <v>775809.1679025689</v>
      </c>
      <c r="F76" s="139">
        <f t="shared" si="7"/>
        <v>3.4166666666666665</v>
      </c>
      <c r="G76" s="227"/>
      <c r="H76" s="230"/>
    </row>
    <row r="77" spans="1:8" ht="12.75">
      <c r="A77" s="108">
        <v>42</v>
      </c>
      <c r="B77" s="121">
        <f t="shared" si="3"/>
        <v>70216854.95597121</v>
      </c>
      <c r="C77" s="119">
        <f t="shared" si="5"/>
        <v>1012451.3816488149</v>
      </c>
      <c r="D77" s="81">
        <f t="shared" si="6"/>
        <v>234056.1831865707</v>
      </c>
      <c r="E77" s="122">
        <f t="shared" si="4"/>
        <v>778395.1984622441</v>
      </c>
      <c r="F77" s="139">
        <f t="shared" si="7"/>
        <v>3.5</v>
      </c>
      <c r="G77" s="227"/>
      <c r="H77" s="230"/>
    </row>
    <row r="78" spans="1:8" ht="12.75">
      <c r="A78" s="108">
        <v>43</v>
      </c>
      <c r="B78" s="121">
        <f t="shared" si="3"/>
        <v>69438459.75750896</v>
      </c>
      <c r="C78" s="119">
        <f t="shared" si="5"/>
        <v>1012451.3816488149</v>
      </c>
      <c r="D78" s="81">
        <f t="shared" si="6"/>
        <v>231461.5325250299</v>
      </c>
      <c r="E78" s="122">
        <f t="shared" si="4"/>
        <v>780989.849123785</v>
      </c>
      <c r="F78" s="139">
        <f t="shared" si="7"/>
        <v>3.5833333333333335</v>
      </c>
      <c r="G78" s="227"/>
      <c r="H78" s="230"/>
    </row>
    <row r="79" spans="1:8" ht="12.75">
      <c r="A79" s="108">
        <v>44</v>
      </c>
      <c r="B79" s="121">
        <f t="shared" si="3"/>
        <v>68657469.90838517</v>
      </c>
      <c r="C79" s="119">
        <f t="shared" si="5"/>
        <v>1012451.3816488149</v>
      </c>
      <c r="D79" s="81">
        <f t="shared" si="6"/>
        <v>228858.2330279506</v>
      </c>
      <c r="E79" s="122">
        <f t="shared" si="4"/>
        <v>783593.1486208643</v>
      </c>
      <c r="F79" s="139">
        <f t="shared" si="7"/>
        <v>3.6666666666666665</v>
      </c>
      <c r="G79" s="227"/>
      <c r="H79" s="230"/>
    </row>
    <row r="80" spans="1:8" ht="12.75">
      <c r="A80" s="108">
        <v>45</v>
      </c>
      <c r="B80" s="121">
        <f t="shared" si="3"/>
        <v>67873876.75976431</v>
      </c>
      <c r="C80" s="119">
        <f t="shared" si="5"/>
        <v>1012451.3816488149</v>
      </c>
      <c r="D80" s="81">
        <f t="shared" si="6"/>
        <v>226246.25586588107</v>
      </c>
      <c r="E80" s="122">
        <f t="shared" si="4"/>
        <v>786205.1257829338</v>
      </c>
      <c r="F80" s="139">
        <f t="shared" si="7"/>
        <v>3.75</v>
      </c>
      <c r="G80" s="227"/>
      <c r="H80" s="230"/>
    </row>
    <row r="81" spans="1:8" ht="12.75">
      <c r="A81" s="108">
        <v>46</v>
      </c>
      <c r="B81" s="121">
        <f t="shared" si="3"/>
        <v>67087671.63398138</v>
      </c>
      <c r="C81" s="119">
        <f t="shared" si="5"/>
        <v>1012451.3816488149</v>
      </c>
      <c r="D81" s="81">
        <f t="shared" si="6"/>
        <v>223625.57211327128</v>
      </c>
      <c r="E81" s="122">
        <f t="shared" si="4"/>
        <v>788825.8095355437</v>
      </c>
      <c r="F81" s="139">
        <f t="shared" si="7"/>
        <v>3.8333333333333335</v>
      </c>
      <c r="G81" s="227"/>
      <c r="H81" s="230"/>
    </row>
    <row r="82" spans="1:8" ht="12.75">
      <c r="A82" s="108">
        <v>47</v>
      </c>
      <c r="B82" s="121">
        <f t="shared" si="3"/>
        <v>66298845.824445836</v>
      </c>
      <c r="C82" s="119">
        <f t="shared" si="5"/>
        <v>1012451.3816488149</v>
      </c>
      <c r="D82" s="81">
        <f t="shared" si="6"/>
        <v>220996.1527481528</v>
      </c>
      <c r="E82" s="122">
        <f t="shared" si="4"/>
        <v>791455.2289006622</v>
      </c>
      <c r="F82" s="139">
        <f t="shared" si="7"/>
        <v>3.9166666666666665</v>
      </c>
      <c r="G82" s="227"/>
      <c r="H82" s="230"/>
    </row>
    <row r="83" spans="1:8" ht="13.5" thickBot="1">
      <c r="A83" s="108">
        <v>48</v>
      </c>
      <c r="B83" s="121">
        <f t="shared" si="3"/>
        <v>65507390.59554517</v>
      </c>
      <c r="C83" s="119">
        <f t="shared" si="5"/>
        <v>1012451.3816488149</v>
      </c>
      <c r="D83" s="81">
        <f t="shared" si="6"/>
        <v>218357.96865181727</v>
      </c>
      <c r="E83" s="122">
        <f t="shared" si="4"/>
        <v>794093.4129969976</v>
      </c>
      <c r="F83" s="140">
        <f t="shared" si="7"/>
        <v>4</v>
      </c>
      <c r="G83" s="228"/>
      <c r="H83" s="231"/>
    </row>
    <row r="84" spans="1:8" ht="12.75">
      <c r="A84" s="108">
        <v>49</v>
      </c>
      <c r="B84" s="121">
        <f t="shared" si="3"/>
        <v>64713297.18254817</v>
      </c>
      <c r="C84" s="119">
        <f t="shared" si="5"/>
        <v>1012451.3816488149</v>
      </c>
      <c r="D84" s="81">
        <f t="shared" si="6"/>
        <v>215710.9906084939</v>
      </c>
      <c r="E84" s="122">
        <f t="shared" si="4"/>
        <v>796740.391040321</v>
      </c>
      <c r="F84" s="138">
        <f t="shared" si="7"/>
        <v>4.083333333333333</v>
      </c>
      <c r="G84" s="226">
        <f>+SUM(D84:D95)</f>
        <v>2411286.7285360135</v>
      </c>
      <c r="H84" s="229">
        <f>+SUM(E84:E95)</f>
        <v>9738129.851249764</v>
      </c>
    </row>
    <row r="85" spans="1:8" ht="12.75">
      <c r="A85" s="108">
        <v>50</v>
      </c>
      <c r="B85" s="121">
        <f t="shared" si="3"/>
        <v>63916556.791507855</v>
      </c>
      <c r="C85" s="119">
        <f t="shared" si="5"/>
        <v>1012451.3816488149</v>
      </c>
      <c r="D85" s="81">
        <f t="shared" si="6"/>
        <v>213055.1893050262</v>
      </c>
      <c r="E85" s="122">
        <f t="shared" si="4"/>
        <v>799396.1923437887</v>
      </c>
      <c r="F85" s="139">
        <f t="shared" si="7"/>
        <v>4.166666666666667</v>
      </c>
      <c r="G85" s="227"/>
      <c r="H85" s="230"/>
    </row>
    <row r="86" spans="1:8" ht="12.75">
      <c r="A86" s="108">
        <v>51</v>
      </c>
      <c r="B86" s="121">
        <f t="shared" si="3"/>
        <v>63117160.59916407</v>
      </c>
      <c r="C86" s="119">
        <f t="shared" si="5"/>
        <v>1012451.3816488149</v>
      </c>
      <c r="D86" s="81">
        <f t="shared" si="6"/>
        <v>210390.5353305469</v>
      </c>
      <c r="E86" s="122">
        <f t="shared" si="4"/>
        <v>802060.846318268</v>
      </c>
      <c r="F86" s="139">
        <f t="shared" si="7"/>
        <v>4.25</v>
      </c>
      <c r="G86" s="227"/>
      <c r="H86" s="230"/>
    </row>
    <row r="87" spans="1:8" ht="12.75">
      <c r="A87" s="108">
        <v>52</v>
      </c>
      <c r="B87" s="121">
        <f t="shared" si="3"/>
        <v>62315099.7528458</v>
      </c>
      <c r="C87" s="119">
        <f t="shared" si="5"/>
        <v>1012451.3816488149</v>
      </c>
      <c r="D87" s="81">
        <f t="shared" si="6"/>
        <v>207716.9991761527</v>
      </c>
      <c r="E87" s="122">
        <f t="shared" si="4"/>
        <v>804734.3824726623</v>
      </c>
      <c r="F87" s="139">
        <f t="shared" si="7"/>
        <v>4.333333333333333</v>
      </c>
      <c r="G87" s="227"/>
      <c r="H87" s="230"/>
    </row>
    <row r="88" spans="1:8" ht="12.75">
      <c r="A88" s="108">
        <v>53</v>
      </c>
      <c r="B88" s="121">
        <f t="shared" si="3"/>
        <v>61510365.37037314</v>
      </c>
      <c r="C88" s="119">
        <f t="shared" si="5"/>
        <v>1012451.3816488149</v>
      </c>
      <c r="D88" s="81">
        <f t="shared" si="6"/>
        <v>205034.55123457714</v>
      </c>
      <c r="E88" s="122">
        <f t="shared" si="4"/>
        <v>807416.8304142377</v>
      </c>
      <c r="F88" s="139">
        <f t="shared" si="7"/>
        <v>4.416666666666667</v>
      </c>
      <c r="G88" s="227"/>
      <c r="H88" s="230"/>
    </row>
    <row r="89" spans="1:8" ht="12.75">
      <c r="A89" s="108">
        <v>54</v>
      </c>
      <c r="B89" s="121">
        <f t="shared" si="3"/>
        <v>60702948.5399589</v>
      </c>
      <c r="C89" s="119">
        <f t="shared" si="5"/>
        <v>1012451.3816488149</v>
      </c>
      <c r="D89" s="81">
        <f t="shared" si="6"/>
        <v>202343.161799863</v>
      </c>
      <c r="E89" s="122">
        <f t="shared" si="4"/>
        <v>810108.2198489519</v>
      </c>
      <c r="F89" s="139">
        <f t="shared" si="7"/>
        <v>4.5</v>
      </c>
      <c r="G89" s="227"/>
      <c r="H89" s="230"/>
    </row>
    <row r="90" spans="1:8" ht="12.75">
      <c r="A90" s="108">
        <v>55</v>
      </c>
      <c r="B90" s="121">
        <f t="shared" si="3"/>
        <v>59892840.32010995</v>
      </c>
      <c r="C90" s="119">
        <f t="shared" si="5"/>
        <v>1012451.3816488149</v>
      </c>
      <c r="D90" s="81">
        <f t="shared" si="6"/>
        <v>199642.80106703317</v>
      </c>
      <c r="E90" s="122">
        <f t="shared" si="4"/>
        <v>812808.5805817817</v>
      </c>
      <c r="F90" s="139">
        <f t="shared" si="7"/>
        <v>4.583333333333333</v>
      </c>
      <c r="G90" s="227"/>
      <c r="H90" s="230"/>
    </row>
    <row r="91" spans="1:8" ht="12.75">
      <c r="A91" s="108">
        <v>56</v>
      </c>
      <c r="B91" s="121">
        <f t="shared" si="3"/>
        <v>59080031.739528164</v>
      </c>
      <c r="C91" s="119">
        <f t="shared" si="5"/>
        <v>1012451.3816488149</v>
      </c>
      <c r="D91" s="81">
        <f t="shared" si="6"/>
        <v>196933.43913176056</v>
      </c>
      <c r="E91" s="122">
        <f t="shared" si="4"/>
        <v>815517.9425170543</v>
      </c>
      <c r="F91" s="139">
        <f t="shared" si="7"/>
        <v>4.666666666666667</v>
      </c>
      <c r="G91" s="227"/>
      <c r="H91" s="230"/>
    </row>
    <row r="92" spans="1:8" ht="12.75">
      <c r="A92" s="108">
        <v>57</v>
      </c>
      <c r="B92" s="121">
        <f t="shared" si="3"/>
        <v>58264513.79701111</v>
      </c>
      <c r="C92" s="119">
        <f t="shared" si="5"/>
        <v>1012451.3816488149</v>
      </c>
      <c r="D92" s="81">
        <f t="shared" si="6"/>
        <v>194215.04599003703</v>
      </c>
      <c r="E92" s="122">
        <f t="shared" si="4"/>
        <v>818236.3356587779</v>
      </c>
      <c r="F92" s="139">
        <f t="shared" si="7"/>
        <v>4.75</v>
      </c>
      <c r="G92" s="227"/>
      <c r="H92" s="230"/>
    </row>
    <row r="93" spans="1:8" ht="12.75">
      <c r="A93" s="108">
        <v>58</v>
      </c>
      <c r="B93" s="121">
        <f t="shared" si="3"/>
        <v>57446277.461352326</v>
      </c>
      <c r="C93" s="119">
        <f t="shared" si="5"/>
        <v>1012451.3816488149</v>
      </c>
      <c r="D93" s="81">
        <f t="shared" si="6"/>
        <v>191487.5915378411</v>
      </c>
      <c r="E93" s="122">
        <f t="shared" si="4"/>
        <v>820963.7901109738</v>
      </c>
      <c r="F93" s="139">
        <f t="shared" si="7"/>
        <v>4.833333333333333</v>
      </c>
      <c r="G93" s="227"/>
      <c r="H93" s="230"/>
    </row>
    <row r="94" spans="1:8" ht="12.75">
      <c r="A94" s="108">
        <v>59</v>
      </c>
      <c r="B94" s="121">
        <f t="shared" si="3"/>
        <v>56625313.67124135</v>
      </c>
      <c r="C94" s="119">
        <f t="shared" si="5"/>
        <v>1012451.3816488149</v>
      </c>
      <c r="D94" s="81">
        <f t="shared" si="6"/>
        <v>188751.0455708045</v>
      </c>
      <c r="E94" s="122">
        <f t="shared" si="4"/>
        <v>823700.3360780104</v>
      </c>
      <c r="F94" s="139">
        <f t="shared" si="7"/>
        <v>4.916666666666667</v>
      </c>
      <c r="G94" s="227"/>
      <c r="H94" s="230"/>
    </row>
    <row r="95" spans="1:8" ht="13.5" thickBot="1">
      <c r="A95" s="109">
        <v>60</v>
      </c>
      <c r="B95" s="125">
        <f t="shared" si="3"/>
        <v>55801613.33516334</v>
      </c>
      <c r="C95" s="124">
        <f t="shared" si="5"/>
        <v>1012451.3816488149</v>
      </c>
      <c r="D95" s="123">
        <f t="shared" si="6"/>
        <v>186005.3777838778</v>
      </c>
      <c r="E95" s="126">
        <f t="shared" si="4"/>
        <v>826446.0038649371</v>
      </c>
      <c r="F95" s="140">
        <f t="shared" si="7"/>
        <v>5</v>
      </c>
      <c r="G95" s="228"/>
      <c r="H95" s="231"/>
    </row>
    <row r="96" spans="1:10" ht="12.75">
      <c r="A96" s="146">
        <v>61</v>
      </c>
      <c r="B96" s="125">
        <f t="shared" si="3"/>
        <v>54975167.3312984</v>
      </c>
      <c r="C96" s="169">
        <f t="shared" si="5"/>
        <v>1012451.3816488149</v>
      </c>
      <c r="D96" s="170">
        <f t="shared" si="6"/>
        <v>183250.5577709947</v>
      </c>
      <c r="E96" s="171">
        <f t="shared" si="4"/>
        <v>829200.8238778202</v>
      </c>
      <c r="F96" s="107"/>
      <c r="G96" s="101"/>
      <c r="H96" s="101"/>
      <c r="I96" s="101"/>
      <c r="J96" s="101"/>
    </row>
    <row r="97" spans="1:6" ht="12.75">
      <c r="A97" s="146">
        <v>62</v>
      </c>
      <c r="B97" s="168">
        <f t="shared" si="3"/>
        <v>54145966.507420585</v>
      </c>
      <c r="C97" s="169">
        <f t="shared" si="5"/>
        <v>1012451.3816488149</v>
      </c>
      <c r="D97" s="170">
        <f t="shared" si="6"/>
        <v>180486.55502473528</v>
      </c>
      <c r="E97" s="171">
        <f t="shared" si="4"/>
        <v>831964.8266240796</v>
      </c>
      <c r="F97" s="107"/>
    </row>
    <row r="98" spans="1:6" ht="12.75">
      <c r="A98" s="146">
        <v>63</v>
      </c>
      <c r="B98" s="168">
        <f t="shared" si="3"/>
        <v>53314001.680796504</v>
      </c>
      <c r="C98" s="169">
        <f t="shared" si="5"/>
        <v>1012451.3816488149</v>
      </c>
      <c r="D98" s="170">
        <f t="shared" si="6"/>
        <v>177713.33893598834</v>
      </c>
      <c r="E98" s="171">
        <f t="shared" si="4"/>
        <v>834738.0427128265</v>
      </c>
      <c r="F98" s="107"/>
    </row>
    <row r="99" spans="1:6" ht="12.75">
      <c r="A99" s="146">
        <v>64</v>
      </c>
      <c r="B99" s="168">
        <f t="shared" si="3"/>
        <v>52479263.638083674</v>
      </c>
      <c r="C99" s="169">
        <f t="shared" si="5"/>
        <v>1012451.3816488149</v>
      </c>
      <c r="D99" s="170">
        <f t="shared" si="6"/>
        <v>174930.87879361227</v>
      </c>
      <c r="E99" s="171">
        <f t="shared" si="4"/>
        <v>837520.5028552026</v>
      </c>
      <c r="F99" s="107"/>
    </row>
    <row r="100" spans="1:6" ht="12.75">
      <c r="A100" s="146">
        <v>65</v>
      </c>
      <c r="B100" s="168">
        <f t="shared" si="3"/>
        <v>51641743.13522847</v>
      </c>
      <c r="C100" s="169">
        <f aca="true" t="shared" si="8" ref="C100:C131">+-PMT($C$29,120,+$B$36)</f>
        <v>1012451.3816488149</v>
      </c>
      <c r="D100" s="170">
        <f aca="true" t="shared" si="9" ref="D100:D131">+B100*$C$29</f>
        <v>172139.14378409492</v>
      </c>
      <c r="E100" s="171">
        <f t="shared" si="4"/>
        <v>840312.2378647199</v>
      </c>
      <c r="F100" s="107"/>
    </row>
    <row r="101" spans="1:6" ht="12.75">
      <c r="A101" s="146">
        <v>66</v>
      </c>
      <c r="B101" s="168">
        <f t="shared" si="3"/>
        <v>50801430.89736375</v>
      </c>
      <c r="C101" s="169">
        <f t="shared" si="8"/>
        <v>1012451.3816488149</v>
      </c>
      <c r="D101" s="170">
        <f t="shared" si="9"/>
        <v>169338.1029912125</v>
      </c>
      <c r="E101" s="171">
        <f t="shared" si="4"/>
        <v>843113.2786576024</v>
      </c>
      <c r="F101" s="107"/>
    </row>
    <row r="102" spans="1:6" ht="12.75">
      <c r="A102" s="146">
        <v>67</v>
      </c>
      <c r="B102" s="168">
        <f aca="true" t="shared" si="10" ref="B102:B155">+B101-E101</f>
        <v>49958317.61870615</v>
      </c>
      <c r="C102" s="169">
        <f t="shared" si="8"/>
        <v>1012451.3816488149</v>
      </c>
      <c r="D102" s="170">
        <f t="shared" si="9"/>
        <v>166527.7253956872</v>
      </c>
      <c r="E102" s="171">
        <f aca="true" t="shared" si="11" ref="E102:E155">+C102-D102</f>
        <v>845923.6562531277</v>
      </c>
      <c r="F102" s="107"/>
    </row>
    <row r="103" spans="1:6" ht="12.75">
      <c r="A103" s="146">
        <v>68</v>
      </c>
      <c r="B103" s="168">
        <f t="shared" si="10"/>
        <v>49112393.96245302</v>
      </c>
      <c r="C103" s="169">
        <f t="shared" si="8"/>
        <v>1012451.3816488149</v>
      </c>
      <c r="D103" s="170">
        <f t="shared" si="9"/>
        <v>163707.9798748434</v>
      </c>
      <c r="E103" s="171">
        <f t="shared" si="11"/>
        <v>848743.4017739715</v>
      </c>
      <c r="F103" s="107"/>
    </row>
    <row r="104" spans="1:6" ht="12.75">
      <c r="A104" s="146">
        <v>69</v>
      </c>
      <c r="B104" s="168">
        <f t="shared" si="10"/>
        <v>48263650.56067905</v>
      </c>
      <c r="C104" s="169">
        <f t="shared" si="8"/>
        <v>1012451.3816488149</v>
      </c>
      <c r="D104" s="170">
        <f t="shared" si="9"/>
        <v>160878.8352022635</v>
      </c>
      <c r="E104" s="171">
        <f t="shared" si="11"/>
        <v>851572.5464465513</v>
      </c>
      <c r="F104" s="107"/>
    </row>
    <row r="105" spans="1:6" ht="12.75">
      <c r="A105" s="146">
        <v>70</v>
      </c>
      <c r="B105" s="168">
        <f t="shared" si="10"/>
        <v>47412078.014232494</v>
      </c>
      <c r="C105" s="169">
        <f t="shared" si="8"/>
        <v>1012451.3816488149</v>
      </c>
      <c r="D105" s="170">
        <f t="shared" si="9"/>
        <v>158040.26004744167</v>
      </c>
      <c r="E105" s="171">
        <f t="shared" si="11"/>
        <v>854411.1216013732</v>
      </c>
      <c r="F105" s="107"/>
    </row>
    <row r="106" spans="1:6" ht="12.75">
      <c r="A106" s="146">
        <v>71</v>
      </c>
      <c r="B106" s="168">
        <f t="shared" si="10"/>
        <v>46557666.89263112</v>
      </c>
      <c r="C106" s="169">
        <f t="shared" si="8"/>
        <v>1012451.3816488149</v>
      </c>
      <c r="D106" s="170">
        <f t="shared" si="9"/>
        <v>155192.2229754371</v>
      </c>
      <c r="E106" s="171">
        <f t="shared" si="11"/>
        <v>857259.1586733778</v>
      </c>
      <c r="F106" s="107"/>
    </row>
    <row r="107" spans="1:6" ht="12.75">
      <c r="A107" s="146">
        <v>72</v>
      </c>
      <c r="B107" s="168">
        <f t="shared" si="10"/>
        <v>45700407.733957745</v>
      </c>
      <c r="C107" s="169">
        <f t="shared" si="8"/>
        <v>1012451.3816488149</v>
      </c>
      <c r="D107" s="170">
        <f t="shared" si="9"/>
        <v>152334.69244652582</v>
      </c>
      <c r="E107" s="171">
        <f t="shared" si="11"/>
        <v>860116.6892022891</v>
      </c>
      <c r="F107" s="107"/>
    </row>
    <row r="108" spans="1:10" ht="12.75">
      <c r="A108" s="146">
        <v>73</v>
      </c>
      <c r="B108" s="168">
        <f t="shared" si="10"/>
        <v>44840291.04475546</v>
      </c>
      <c r="C108" s="169">
        <f t="shared" si="8"/>
        <v>1012451.3816488149</v>
      </c>
      <c r="D108" s="170">
        <f t="shared" si="9"/>
        <v>149467.63681585153</v>
      </c>
      <c r="E108" s="171">
        <f t="shared" si="11"/>
        <v>862983.7448329633</v>
      </c>
      <c r="F108" s="107"/>
      <c r="G108" s="101"/>
      <c r="H108" s="101"/>
      <c r="I108" s="101"/>
      <c r="J108" s="101"/>
    </row>
    <row r="109" spans="1:6" ht="12.75">
      <c r="A109" s="146">
        <v>74</v>
      </c>
      <c r="B109" s="168">
        <f t="shared" si="10"/>
        <v>43977307.299922496</v>
      </c>
      <c r="C109" s="169">
        <f t="shared" si="8"/>
        <v>1012451.3816488149</v>
      </c>
      <c r="D109" s="170">
        <f t="shared" si="9"/>
        <v>146591.024333075</v>
      </c>
      <c r="E109" s="171">
        <f t="shared" si="11"/>
        <v>865860.3573157398</v>
      </c>
      <c r="F109" s="107"/>
    </row>
    <row r="110" spans="1:6" ht="12.75">
      <c r="A110" s="146">
        <v>75</v>
      </c>
      <c r="B110" s="168">
        <f t="shared" si="10"/>
        <v>43111446.942606755</v>
      </c>
      <c r="C110" s="169">
        <f t="shared" si="8"/>
        <v>1012451.3816488149</v>
      </c>
      <c r="D110" s="170">
        <f t="shared" si="9"/>
        <v>143704.82314202253</v>
      </c>
      <c r="E110" s="171">
        <f t="shared" si="11"/>
        <v>868746.5585067924</v>
      </c>
      <c r="F110" s="107"/>
    </row>
    <row r="111" spans="1:6" ht="12.75">
      <c r="A111" s="146">
        <v>76</v>
      </c>
      <c r="B111" s="168">
        <f t="shared" si="10"/>
        <v>42242700.38409996</v>
      </c>
      <c r="C111" s="169">
        <f t="shared" si="8"/>
        <v>1012451.3816488149</v>
      </c>
      <c r="D111" s="170">
        <f t="shared" si="9"/>
        <v>140809.0012803332</v>
      </c>
      <c r="E111" s="171">
        <f t="shared" si="11"/>
        <v>871642.3803684816</v>
      </c>
      <c r="F111" s="107"/>
    </row>
    <row r="112" spans="1:6" ht="12.75">
      <c r="A112" s="146">
        <v>77</v>
      </c>
      <c r="B112" s="168">
        <f t="shared" si="10"/>
        <v>41371058.00373148</v>
      </c>
      <c r="C112" s="169">
        <f t="shared" si="8"/>
        <v>1012451.3816488149</v>
      </c>
      <c r="D112" s="170">
        <f t="shared" si="9"/>
        <v>137903.52667910495</v>
      </c>
      <c r="E112" s="171">
        <f t="shared" si="11"/>
        <v>874547.8549697099</v>
      </c>
      <c r="F112" s="107"/>
    </row>
    <row r="113" spans="1:6" ht="12.75">
      <c r="A113" s="146">
        <v>78</v>
      </c>
      <c r="B113" s="168">
        <f t="shared" si="10"/>
        <v>40496510.14876177</v>
      </c>
      <c r="C113" s="169">
        <f t="shared" si="8"/>
        <v>1012451.3816488149</v>
      </c>
      <c r="D113" s="170">
        <f t="shared" si="9"/>
        <v>134988.36716253925</v>
      </c>
      <c r="E113" s="171">
        <f t="shared" si="11"/>
        <v>877463.0144862756</v>
      </c>
      <c r="F113" s="107"/>
    </row>
    <row r="114" spans="1:6" ht="12.75">
      <c r="A114" s="146">
        <v>79</v>
      </c>
      <c r="B114" s="168">
        <f t="shared" si="10"/>
        <v>39619047.134275496</v>
      </c>
      <c r="C114" s="169">
        <f t="shared" si="8"/>
        <v>1012451.3816488149</v>
      </c>
      <c r="D114" s="170">
        <f t="shared" si="9"/>
        <v>132063.490447585</v>
      </c>
      <c r="E114" s="171">
        <f t="shared" si="11"/>
        <v>880387.8912012299</v>
      </c>
      <c r="F114" s="107"/>
    </row>
    <row r="115" spans="1:6" ht="12.75">
      <c r="A115" s="146">
        <v>80</v>
      </c>
      <c r="B115" s="168">
        <f t="shared" si="10"/>
        <v>38738659.24307427</v>
      </c>
      <c r="C115" s="169">
        <f t="shared" si="8"/>
        <v>1012451.3816488149</v>
      </c>
      <c r="D115" s="170">
        <f t="shared" si="9"/>
        <v>129128.8641435809</v>
      </c>
      <c r="E115" s="171">
        <f t="shared" si="11"/>
        <v>883322.517505234</v>
      </c>
      <c r="F115" s="107"/>
    </row>
    <row r="116" spans="1:6" ht="12.75">
      <c r="A116" s="146">
        <v>81</v>
      </c>
      <c r="B116" s="168">
        <f t="shared" si="10"/>
        <v>37855336.72556903</v>
      </c>
      <c r="C116" s="169">
        <f t="shared" si="8"/>
        <v>1012451.3816488149</v>
      </c>
      <c r="D116" s="170">
        <f t="shared" si="9"/>
        <v>126184.45575189678</v>
      </c>
      <c r="E116" s="171">
        <f t="shared" si="11"/>
        <v>886266.9258969182</v>
      </c>
      <c r="F116" s="107"/>
    </row>
    <row r="117" spans="1:6" ht="12.75">
      <c r="A117" s="146">
        <v>82</v>
      </c>
      <c r="B117" s="168">
        <f t="shared" si="10"/>
        <v>36969069.79967211</v>
      </c>
      <c r="C117" s="169">
        <f t="shared" si="8"/>
        <v>1012451.3816488149</v>
      </c>
      <c r="D117" s="170">
        <f t="shared" si="9"/>
        <v>123230.23266557371</v>
      </c>
      <c r="E117" s="171">
        <f t="shared" si="11"/>
        <v>889221.1489832412</v>
      </c>
      <c r="F117" s="107"/>
    </row>
    <row r="118" spans="1:6" ht="12.75">
      <c r="A118" s="146">
        <v>83</v>
      </c>
      <c r="B118" s="168">
        <f t="shared" si="10"/>
        <v>36079848.65068887</v>
      </c>
      <c r="C118" s="169">
        <f t="shared" si="8"/>
        <v>1012451.3816488149</v>
      </c>
      <c r="D118" s="170">
        <f t="shared" si="9"/>
        <v>120266.16216896291</v>
      </c>
      <c r="E118" s="171">
        <f t="shared" si="11"/>
        <v>892185.219479852</v>
      </c>
      <c r="F118" s="107"/>
    </row>
    <row r="119" spans="1:6" ht="12.75">
      <c r="A119" s="146">
        <v>84</v>
      </c>
      <c r="B119" s="168">
        <f t="shared" si="10"/>
        <v>35187663.43120902</v>
      </c>
      <c r="C119" s="169">
        <f t="shared" si="8"/>
        <v>1012451.3816488149</v>
      </c>
      <c r="D119" s="170">
        <f t="shared" si="9"/>
        <v>117292.21143736341</v>
      </c>
      <c r="E119" s="171">
        <f t="shared" si="11"/>
        <v>895159.1702114515</v>
      </c>
      <c r="F119" s="107"/>
    </row>
    <row r="120" spans="1:10" ht="12.75">
      <c r="A120" s="146">
        <v>85</v>
      </c>
      <c r="B120" s="168">
        <f t="shared" si="10"/>
        <v>34292504.26099757</v>
      </c>
      <c r="C120" s="169">
        <f t="shared" si="8"/>
        <v>1012451.3816488149</v>
      </c>
      <c r="D120" s="170">
        <f t="shared" si="9"/>
        <v>114308.34753665858</v>
      </c>
      <c r="E120" s="171">
        <f t="shared" si="11"/>
        <v>898143.0341121564</v>
      </c>
      <c r="F120" s="107"/>
      <c r="G120" s="101"/>
      <c r="H120" s="101"/>
      <c r="I120" s="101"/>
      <c r="J120" s="101"/>
    </row>
    <row r="121" spans="1:6" ht="12.75">
      <c r="A121" s="146">
        <v>86</v>
      </c>
      <c r="B121" s="168">
        <f t="shared" si="10"/>
        <v>33394361.226885416</v>
      </c>
      <c r="C121" s="169">
        <f t="shared" si="8"/>
        <v>1012451.3816488149</v>
      </c>
      <c r="D121" s="170">
        <f t="shared" si="9"/>
        <v>111314.5374229514</v>
      </c>
      <c r="E121" s="171">
        <f t="shared" si="11"/>
        <v>901136.8442258635</v>
      </c>
      <c r="F121" s="107"/>
    </row>
    <row r="122" spans="1:6" ht="12.75">
      <c r="A122" s="146">
        <v>87</v>
      </c>
      <c r="B122" s="168">
        <f t="shared" si="10"/>
        <v>32493224.38265955</v>
      </c>
      <c r="C122" s="169">
        <f t="shared" si="8"/>
        <v>1012451.3816488149</v>
      </c>
      <c r="D122" s="170">
        <f t="shared" si="9"/>
        <v>108310.7479421985</v>
      </c>
      <c r="E122" s="171">
        <f t="shared" si="11"/>
        <v>904140.6337066164</v>
      </c>
      <c r="F122" s="107"/>
    </row>
    <row r="123" spans="1:6" ht="12.75">
      <c r="A123" s="146">
        <v>88</v>
      </c>
      <c r="B123" s="168">
        <f t="shared" si="10"/>
        <v>31589083.748952933</v>
      </c>
      <c r="C123" s="169">
        <f t="shared" si="8"/>
        <v>1012451.3816488149</v>
      </c>
      <c r="D123" s="170">
        <f t="shared" si="9"/>
        <v>105296.94582984311</v>
      </c>
      <c r="E123" s="171">
        <f t="shared" si="11"/>
        <v>907154.4358189718</v>
      </c>
      <c r="F123" s="107"/>
    </row>
    <row r="124" spans="1:6" ht="12.75">
      <c r="A124" s="146">
        <v>89</v>
      </c>
      <c r="B124" s="168">
        <f t="shared" si="10"/>
        <v>30681929.313133962</v>
      </c>
      <c r="C124" s="169">
        <f t="shared" si="8"/>
        <v>1012451.3816488149</v>
      </c>
      <c r="D124" s="170">
        <f t="shared" si="9"/>
        <v>102273.09771044654</v>
      </c>
      <c r="E124" s="171">
        <f t="shared" si="11"/>
        <v>910178.2839383683</v>
      </c>
      <c r="F124" s="107"/>
    </row>
    <row r="125" spans="1:6" ht="12.75">
      <c r="A125" s="146">
        <v>90</v>
      </c>
      <c r="B125" s="168">
        <f t="shared" si="10"/>
        <v>29771751.029195596</v>
      </c>
      <c r="C125" s="169">
        <f t="shared" si="8"/>
        <v>1012451.3816488149</v>
      </c>
      <c r="D125" s="170">
        <f t="shared" si="9"/>
        <v>99239.17009731865</v>
      </c>
      <c r="E125" s="171">
        <f t="shared" si="11"/>
        <v>913212.2115514963</v>
      </c>
      <c r="F125" s="107"/>
    </row>
    <row r="126" spans="1:6" ht="12.75">
      <c r="A126" s="146">
        <v>91</v>
      </c>
      <c r="B126" s="168">
        <f t="shared" si="10"/>
        <v>28858538.8176441</v>
      </c>
      <c r="C126" s="169">
        <f t="shared" si="8"/>
        <v>1012451.3816488149</v>
      </c>
      <c r="D126" s="170">
        <f t="shared" si="9"/>
        <v>96195.129392147</v>
      </c>
      <c r="E126" s="171">
        <f t="shared" si="11"/>
        <v>916256.2522566679</v>
      </c>
      <c r="F126" s="107"/>
    </row>
    <row r="127" spans="1:6" ht="12.75">
      <c r="A127" s="146">
        <v>92</v>
      </c>
      <c r="B127" s="168">
        <f t="shared" si="10"/>
        <v>27942282.56538743</v>
      </c>
      <c r="C127" s="169">
        <f t="shared" si="8"/>
        <v>1012451.3816488149</v>
      </c>
      <c r="D127" s="170">
        <f t="shared" si="9"/>
        <v>93140.94188462477</v>
      </c>
      <c r="E127" s="171">
        <f t="shared" si="11"/>
        <v>919310.4397641901</v>
      </c>
      <c r="F127" s="107"/>
    </row>
    <row r="128" spans="1:6" ht="12.75">
      <c r="A128" s="146">
        <v>93</v>
      </c>
      <c r="B128" s="168">
        <f t="shared" si="10"/>
        <v>27022972.12562324</v>
      </c>
      <c r="C128" s="169">
        <f t="shared" si="8"/>
        <v>1012451.3816488149</v>
      </c>
      <c r="D128" s="170">
        <f t="shared" si="9"/>
        <v>90076.57375207747</v>
      </c>
      <c r="E128" s="171">
        <f t="shared" si="11"/>
        <v>922374.8078967375</v>
      </c>
      <c r="F128" s="107"/>
    </row>
    <row r="129" spans="1:6" ht="12.75">
      <c r="A129" s="146">
        <v>94</v>
      </c>
      <c r="B129" s="168">
        <f t="shared" si="10"/>
        <v>26100597.317726504</v>
      </c>
      <c r="C129" s="169">
        <f t="shared" si="8"/>
        <v>1012451.3816488149</v>
      </c>
      <c r="D129" s="170">
        <f t="shared" si="9"/>
        <v>87001.99105908835</v>
      </c>
      <c r="E129" s="171">
        <f t="shared" si="11"/>
        <v>925449.3905897265</v>
      </c>
      <c r="F129" s="107"/>
    </row>
    <row r="130" spans="1:6" ht="12.75">
      <c r="A130" s="146">
        <v>95</v>
      </c>
      <c r="B130" s="168">
        <f t="shared" si="10"/>
        <v>25175147.92713678</v>
      </c>
      <c r="C130" s="169">
        <f t="shared" si="8"/>
        <v>1012451.3816488149</v>
      </c>
      <c r="D130" s="170">
        <f t="shared" si="9"/>
        <v>83917.1597571226</v>
      </c>
      <c r="E130" s="171">
        <f t="shared" si="11"/>
        <v>928534.2218916923</v>
      </c>
      <c r="F130" s="107"/>
    </row>
    <row r="131" spans="1:6" ht="12.75">
      <c r="A131" s="146">
        <v>96</v>
      </c>
      <c r="B131" s="168">
        <f t="shared" si="10"/>
        <v>24246613.705245085</v>
      </c>
      <c r="C131" s="169">
        <f t="shared" si="8"/>
        <v>1012451.3816488149</v>
      </c>
      <c r="D131" s="170">
        <f t="shared" si="9"/>
        <v>80822.04568415029</v>
      </c>
      <c r="E131" s="171">
        <f t="shared" si="11"/>
        <v>931629.3359646646</v>
      </c>
      <c r="F131" s="107"/>
    </row>
    <row r="132" spans="1:10" ht="12.75">
      <c r="A132" s="146">
        <v>97</v>
      </c>
      <c r="B132" s="168">
        <f t="shared" si="10"/>
        <v>23314984.36928042</v>
      </c>
      <c r="C132" s="169">
        <f aca="true" t="shared" si="12" ref="C132:C155">+-PMT($C$29,120,+$B$36)</f>
        <v>1012451.3816488149</v>
      </c>
      <c r="D132" s="170">
        <f aca="true" t="shared" si="13" ref="D132:D155">+B132*$C$29</f>
        <v>77716.61456426808</v>
      </c>
      <c r="E132" s="171">
        <f t="shared" si="11"/>
        <v>934734.7670845469</v>
      </c>
      <c r="F132" s="107"/>
      <c r="G132" s="101"/>
      <c r="H132" s="101"/>
      <c r="I132" s="101"/>
      <c r="J132" s="101"/>
    </row>
    <row r="133" spans="1:6" ht="12.75">
      <c r="A133" s="146">
        <v>98</v>
      </c>
      <c r="B133" s="168">
        <f t="shared" si="10"/>
        <v>22380249.602195874</v>
      </c>
      <c r="C133" s="169">
        <f t="shared" si="12"/>
        <v>1012451.3816488149</v>
      </c>
      <c r="D133" s="170">
        <f t="shared" si="13"/>
        <v>74600.83200731958</v>
      </c>
      <c r="E133" s="171">
        <f t="shared" si="11"/>
        <v>937850.5496414953</v>
      </c>
      <c r="F133" s="107"/>
    </row>
    <row r="134" spans="1:6" ht="12.75">
      <c r="A134" s="146">
        <v>99</v>
      </c>
      <c r="B134" s="168">
        <f t="shared" si="10"/>
        <v>21442399.05255438</v>
      </c>
      <c r="C134" s="169">
        <f t="shared" si="12"/>
        <v>1012451.3816488149</v>
      </c>
      <c r="D134" s="170">
        <f t="shared" si="13"/>
        <v>71474.66350851461</v>
      </c>
      <c r="E134" s="171">
        <f t="shared" si="11"/>
        <v>940976.7181403002</v>
      </c>
      <c r="F134" s="107"/>
    </row>
    <row r="135" spans="1:6" ht="12.75">
      <c r="A135" s="146">
        <v>100</v>
      </c>
      <c r="B135" s="168">
        <f t="shared" si="10"/>
        <v>20501422.33441408</v>
      </c>
      <c r="C135" s="169">
        <f t="shared" si="12"/>
        <v>1012451.3816488149</v>
      </c>
      <c r="D135" s="170">
        <f t="shared" si="13"/>
        <v>68338.07444804694</v>
      </c>
      <c r="E135" s="171">
        <f t="shared" si="11"/>
        <v>944113.3072007679</v>
      </c>
      <c r="F135" s="107"/>
    </row>
    <row r="136" spans="1:6" ht="12.75">
      <c r="A136" s="146">
        <v>101</v>
      </c>
      <c r="B136" s="168">
        <f t="shared" si="10"/>
        <v>19557309.027213313</v>
      </c>
      <c r="C136" s="169">
        <f t="shared" si="12"/>
        <v>1012451.3816488149</v>
      </c>
      <c r="D136" s="170">
        <f t="shared" si="13"/>
        <v>65191.03009071104</v>
      </c>
      <c r="E136" s="171">
        <f t="shared" si="11"/>
        <v>947260.3515581038</v>
      </c>
      <c r="F136" s="107"/>
    </row>
    <row r="137" spans="1:6" ht="12.75">
      <c r="A137" s="146">
        <v>102</v>
      </c>
      <c r="B137" s="168">
        <f t="shared" si="10"/>
        <v>18610048.67565521</v>
      </c>
      <c r="C137" s="169">
        <f t="shared" si="12"/>
        <v>1012451.3816488149</v>
      </c>
      <c r="D137" s="170">
        <f t="shared" si="13"/>
        <v>62033.49558551737</v>
      </c>
      <c r="E137" s="171">
        <f t="shared" si="11"/>
        <v>950417.8860632975</v>
      </c>
      <c r="F137" s="107"/>
    </row>
    <row r="138" spans="1:6" ht="12.75">
      <c r="A138" s="146">
        <v>103</v>
      </c>
      <c r="B138" s="168">
        <f t="shared" si="10"/>
        <v>17659630.789591912</v>
      </c>
      <c r="C138" s="169">
        <f t="shared" si="12"/>
        <v>1012451.3816488149</v>
      </c>
      <c r="D138" s="170">
        <f t="shared" si="13"/>
        <v>58865.43596530638</v>
      </c>
      <c r="E138" s="171">
        <f t="shared" si="11"/>
        <v>953585.9456835085</v>
      </c>
      <c r="F138" s="107"/>
    </row>
    <row r="139" spans="1:6" ht="12.75">
      <c r="A139" s="146">
        <v>104</v>
      </c>
      <c r="B139" s="168">
        <f t="shared" si="10"/>
        <v>16706044.843908403</v>
      </c>
      <c r="C139" s="169">
        <f t="shared" si="12"/>
        <v>1012451.3816488149</v>
      </c>
      <c r="D139" s="170">
        <f t="shared" si="13"/>
        <v>55686.81614636135</v>
      </c>
      <c r="E139" s="171">
        <f t="shared" si="11"/>
        <v>956764.5655024536</v>
      </c>
      <c r="F139" s="107"/>
    </row>
    <row r="140" spans="1:6" ht="12.75">
      <c r="A140" s="146">
        <v>105</v>
      </c>
      <c r="B140" s="168">
        <f t="shared" si="10"/>
        <v>15749280.27840595</v>
      </c>
      <c r="C140" s="169">
        <f t="shared" si="12"/>
        <v>1012451.3816488149</v>
      </c>
      <c r="D140" s="170">
        <f t="shared" si="13"/>
        <v>52497.600928019834</v>
      </c>
      <c r="E140" s="171">
        <f t="shared" si="11"/>
        <v>959953.780720795</v>
      </c>
      <c r="F140" s="107"/>
    </row>
    <row r="141" spans="1:6" ht="12.75">
      <c r="A141" s="146">
        <v>106</v>
      </c>
      <c r="B141" s="168">
        <f t="shared" si="10"/>
        <v>14789326.497685155</v>
      </c>
      <c r="C141" s="169">
        <f t="shared" si="12"/>
        <v>1012451.3816488149</v>
      </c>
      <c r="D141" s="170">
        <f t="shared" si="13"/>
        <v>49297.75499228385</v>
      </c>
      <c r="E141" s="171">
        <f t="shared" si="11"/>
        <v>963153.626656531</v>
      </c>
      <c r="F141" s="107"/>
    </row>
    <row r="142" spans="1:6" ht="12.75">
      <c r="A142" s="146">
        <v>107</v>
      </c>
      <c r="B142" s="168">
        <f t="shared" si="10"/>
        <v>13826172.871028624</v>
      </c>
      <c r="C142" s="169">
        <f t="shared" si="12"/>
        <v>1012451.3816488149</v>
      </c>
      <c r="D142" s="170">
        <f t="shared" si="13"/>
        <v>46087.24290342875</v>
      </c>
      <c r="E142" s="171">
        <f t="shared" si="11"/>
        <v>966364.1387453862</v>
      </c>
      <c r="F142" s="107"/>
    </row>
    <row r="143" spans="1:10" ht="12.75">
      <c r="A143" s="146">
        <v>108</v>
      </c>
      <c r="B143" s="168">
        <f t="shared" si="10"/>
        <v>12859808.732283238</v>
      </c>
      <c r="C143" s="169">
        <f t="shared" si="12"/>
        <v>1012451.3816488149</v>
      </c>
      <c r="D143" s="170">
        <f t="shared" si="13"/>
        <v>42866.0291076108</v>
      </c>
      <c r="E143" s="171">
        <f t="shared" si="11"/>
        <v>969585.3525412041</v>
      </c>
      <c r="F143" s="107"/>
      <c r="G143" s="101"/>
      <c r="H143" s="101"/>
      <c r="I143" s="101"/>
      <c r="J143" s="101"/>
    </row>
    <row r="144" spans="1:6" ht="12.75">
      <c r="A144" s="146">
        <v>109</v>
      </c>
      <c r="B144" s="168">
        <f t="shared" si="10"/>
        <v>11890223.379742034</v>
      </c>
      <c r="C144" s="169">
        <f t="shared" si="12"/>
        <v>1012451.3816488149</v>
      </c>
      <c r="D144" s="170">
        <f t="shared" si="13"/>
        <v>39634.07793247345</v>
      </c>
      <c r="E144" s="171">
        <f t="shared" si="11"/>
        <v>972817.3037163415</v>
      </c>
      <c r="F144" s="107"/>
    </row>
    <row r="145" spans="1:6" ht="12.75">
      <c r="A145" s="146">
        <v>110</v>
      </c>
      <c r="B145" s="168">
        <f t="shared" si="10"/>
        <v>10917406.076025693</v>
      </c>
      <c r="C145" s="169">
        <f t="shared" si="12"/>
        <v>1012451.3816488149</v>
      </c>
      <c r="D145" s="170">
        <f t="shared" si="13"/>
        <v>36391.35358675231</v>
      </c>
      <c r="E145" s="171">
        <f t="shared" si="11"/>
        <v>976060.0280620626</v>
      </c>
      <c r="F145" s="107"/>
    </row>
    <row r="146" spans="1:6" ht="12.75">
      <c r="A146" s="146">
        <v>111</v>
      </c>
      <c r="B146" s="168">
        <f t="shared" si="10"/>
        <v>9941346.04796363</v>
      </c>
      <c r="C146" s="169">
        <f t="shared" si="12"/>
        <v>1012451.3816488149</v>
      </c>
      <c r="D146" s="170">
        <f t="shared" si="13"/>
        <v>33137.82015987877</v>
      </c>
      <c r="E146" s="171">
        <f t="shared" si="11"/>
        <v>979313.5614889361</v>
      </c>
      <c r="F146" s="107"/>
    </row>
    <row r="147" spans="1:6" ht="12.75">
      <c r="A147" s="146">
        <v>112</v>
      </c>
      <c r="B147" s="168">
        <f t="shared" si="10"/>
        <v>8962032.486474695</v>
      </c>
      <c r="C147" s="169">
        <f t="shared" si="12"/>
        <v>1012451.3816488149</v>
      </c>
      <c r="D147" s="170">
        <f t="shared" si="13"/>
        <v>29873.44162158232</v>
      </c>
      <c r="E147" s="171">
        <f t="shared" si="11"/>
        <v>982577.9400272325</v>
      </c>
      <c r="F147" s="107"/>
    </row>
    <row r="148" spans="1:6" ht="12.75">
      <c r="A148" s="146">
        <v>113</v>
      </c>
      <c r="B148" s="168">
        <f t="shared" si="10"/>
        <v>7979454.546447462</v>
      </c>
      <c r="C148" s="169">
        <f t="shared" si="12"/>
        <v>1012451.3816488149</v>
      </c>
      <c r="D148" s="170">
        <f t="shared" si="13"/>
        <v>26598.181821491544</v>
      </c>
      <c r="E148" s="171">
        <f t="shared" si="11"/>
        <v>985853.1998273233</v>
      </c>
      <c r="F148" s="107"/>
    </row>
    <row r="149" spans="1:6" ht="12.75">
      <c r="A149" s="146">
        <v>114</v>
      </c>
      <c r="B149" s="168">
        <f t="shared" si="10"/>
        <v>6993601.346620139</v>
      </c>
      <c r="C149" s="169">
        <f t="shared" si="12"/>
        <v>1012451.3816488149</v>
      </c>
      <c r="D149" s="170">
        <f t="shared" si="13"/>
        <v>23312.004488733797</v>
      </c>
      <c r="E149" s="171">
        <f t="shared" si="11"/>
        <v>989139.377160081</v>
      </c>
      <c r="F149" s="107"/>
    </row>
    <row r="150" spans="1:6" ht="12.75">
      <c r="A150" s="146">
        <v>115</v>
      </c>
      <c r="B150" s="168">
        <f t="shared" si="10"/>
        <v>6004461.969460058</v>
      </c>
      <c r="C150" s="169">
        <f t="shared" si="12"/>
        <v>1012451.3816488149</v>
      </c>
      <c r="D150" s="170">
        <f t="shared" si="13"/>
        <v>20014.87323153353</v>
      </c>
      <c r="E150" s="171">
        <f t="shared" si="11"/>
        <v>992436.5084172813</v>
      </c>
      <c r="F150" s="107"/>
    </row>
    <row r="151" spans="1:6" ht="12.75">
      <c r="A151" s="146">
        <v>116</v>
      </c>
      <c r="B151" s="168">
        <f t="shared" si="10"/>
        <v>5012025.461042777</v>
      </c>
      <c r="C151" s="169">
        <f t="shared" si="12"/>
        <v>1012451.3816488149</v>
      </c>
      <c r="D151" s="170">
        <f t="shared" si="13"/>
        <v>16706.751536809257</v>
      </c>
      <c r="E151" s="171">
        <f t="shared" si="11"/>
        <v>995744.6301120056</v>
      </c>
      <c r="F151" s="107"/>
    </row>
    <row r="152" spans="1:6" ht="12.75">
      <c r="A152" s="146">
        <v>117</v>
      </c>
      <c r="B152" s="168">
        <f t="shared" si="10"/>
        <v>4016280.8309307713</v>
      </c>
      <c r="C152" s="169">
        <f t="shared" si="12"/>
        <v>1012451.3816488149</v>
      </c>
      <c r="D152" s="170">
        <f t="shared" si="13"/>
        <v>13387.602769769239</v>
      </c>
      <c r="E152" s="171">
        <f t="shared" si="11"/>
        <v>999063.7788790456</v>
      </c>
      <c r="F152" s="107"/>
    </row>
    <row r="153" spans="1:6" ht="12.75">
      <c r="A153" s="146">
        <v>118</v>
      </c>
      <c r="B153" s="168">
        <f t="shared" si="10"/>
        <v>3017217.052051726</v>
      </c>
      <c r="C153" s="169">
        <f t="shared" si="12"/>
        <v>1012451.3816488149</v>
      </c>
      <c r="D153" s="170">
        <f t="shared" si="13"/>
        <v>10057.390173505753</v>
      </c>
      <c r="E153" s="171">
        <f t="shared" si="11"/>
        <v>1002393.9914753091</v>
      </c>
      <c r="F153" s="107"/>
    </row>
    <row r="154" spans="1:6" ht="12.75">
      <c r="A154" s="146">
        <v>119</v>
      </c>
      <c r="B154" s="168">
        <f t="shared" si="10"/>
        <v>2014823.0605764166</v>
      </c>
      <c r="C154" s="169">
        <f t="shared" si="12"/>
        <v>1012451.3816488149</v>
      </c>
      <c r="D154" s="170">
        <f t="shared" si="13"/>
        <v>6716.076868588056</v>
      </c>
      <c r="E154" s="171">
        <f t="shared" si="11"/>
        <v>1005735.3047802268</v>
      </c>
      <c r="F154" s="107"/>
    </row>
    <row r="155" spans="1:6" ht="13.5" thickBot="1">
      <c r="A155" s="152">
        <v>120</v>
      </c>
      <c r="B155" s="172">
        <f t="shared" si="10"/>
        <v>1009087.7557961898</v>
      </c>
      <c r="C155" s="173">
        <f t="shared" si="12"/>
        <v>1012451.3816488149</v>
      </c>
      <c r="D155" s="174">
        <f t="shared" si="13"/>
        <v>3363.625852653966</v>
      </c>
      <c r="E155" s="175">
        <f t="shared" si="11"/>
        <v>1009087.7557961609</v>
      </c>
      <c r="F155" s="107"/>
    </row>
  </sheetData>
  <sheetProtection/>
  <mergeCells count="20">
    <mergeCell ref="G60:G71"/>
    <mergeCell ref="H60:H71"/>
    <mergeCell ref="G54:G59"/>
    <mergeCell ref="H54:H59"/>
    <mergeCell ref="G84:G95"/>
    <mergeCell ref="H84:H95"/>
    <mergeCell ref="G72:G83"/>
    <mergeCell ref="H72:H83"/>
    <mergeCell ref="G42:G44"/>
    <mergeCell ref="H42:H44"/>
    <mergeCell ref="G48:G53"/>
    <mergeCell ref="H48:H53"/>
    <mergeCell ref="H45:H47"/>
    <mergeCell ref="G45:G47"/>
    <mergeCell ref="G37:G38"/>
    <mergeCell ref="H37:H38"/>
    <mergeCell ref="G39:G41"/>
    <mergeCell ref="H39:H41"/>
    <mergeCell ref="A34:E34"/>
    <mergeCell ref="F34:H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R165"/>
  <sheetViews>
    <sheetView zoomScale="85" zoomScaleNormal="85" zoomScalePageLayoutView="0" workbookViewId="0" topLeftCell="A19">
      <selection activeCell="G49" sqref="G49"/>
    </sheetView>
  </sheetViews>
  <sheetFormatPr defaultColWidth="9.140625" defaultRowHeight="12.75"/>
  <cols>
    <col min="1" max="1" width="21.00390625" style="0" customWidth="1"/>
    <col min="2" max="2" width="20.7109375" style="0" bestFit="1" customWidth="1"/>
    <col min="3" max="3" width="18.140625" style="0" bestFit="1" customWidth="1"/>
    <col min="4" max="4" width="13.00390625" style="0" bestFit="1" customWidth="1"/>
    <col min="5" max="5" width="14.57421875" style="0" bestFit="1" customWidth="1"/>
    <col min="6" max="6" width="25.421875" style="0" customWidth="1"/>
    <col min="7" max="7" width="26.7109375" style="0" customWidth="1"/>
    <col min="8" max="8" width="25.28125" style="0" bestFit="1" customWidth="1"/>
    <col min="9" max="10" width="17.28125" style="0" bestFit="1" customWidth="1"/>
    <col min="11" max="11" width="16.28125" style="0" bestFit="1" customWidth="1"/>
    <col min="12" max="12" width="12.00390625" style="0" bestFit="1" customWidth="1"/>
    <col min="13" max="13" width="13.8515625" style="0" bestFit="1" customWidth="1"/>
    <col min="14" max="14" width="7.7109375" style="0" bestFit="1" customWidth="1"/>
    <col min="15" max="18" width="16.28125" style="0" bestFit="1" customWidth="1"/>
  </cols>
  <sheetData>
    <row r="1" ht="80.25" customHeight="1" thickBot="1"/>
    <row r="2" spans="1:9" ht="52.5" thickBot="1" thickTop="1">
      <c r="A2" s="58" t="s">
        <v>19</v>
      </c>
      <c r="B2" s="58" t="s">
        <v>18</v>
      </c>
      <c r="C2" s="58" t="s">
        <v>17</v>
      </c>
      <c r="D2" s="25" t="s">
        <v>16</v>
      </c>
      <c r="E2" s="25" t="s">
        <v>15</v>
      </c>
      <c r="F2" s="25" t="s">
        <v>14</v>
      </c>
      <c r="G2" s="25" t="s">
        <v>13</v>
      </c>
      <c r="H2" s="25" t="s">
        <v>12</v>
      </c>
      <c r="I2" s="25" t="s">
        <v>11</v>
      </c>
    </row>
    <row r="3" spans="1:9" ht="14.25" thickBot="1" thickTop="1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</row>
    <row r="4" spans="1:9" ht="14.25" thickBot="1" thickTop="1">
      <c r="A4" s="25" t="s">
        <v>10</v>
      </c>
      <c r="B4" s="25" t="s">
        <v>9</v>
      </c>
      <c r="C4" s="25" t="s">
        <v>8</v>
      </c>
      <c r="D4" s="25" t="s">
        <v>7</v>
      </c>
      <c r="E4" s="25" t="s">
        <v>6</v>
      </c>
      <c r="F4" s="25" t="s">
        <v>5</v>
      </c>
      <c r="G4" s="25" t="s">
        <v>4</v>
      </c>
      <c r="H4" s="25" t="s">
        <v>3</v>
      </c>
      <c r="I4" s="25" t="s">
        <v>2</v>
      </c>
    </row>
    <row r="5" spans="1:9" ht="13.5" thickTop="1">
      <c r="A5" s="51" t="s">
        <v>36</v>
      </c>
      <c r="B5" s="39" t="s">
        <v>57</v>
      </c>
      <c r="C5" s="52" t="s">
        <v>58</v>
      </c>
      <c r="D5" s="52" t="s">
        <v>60</v>
      </c>
      <c r="E5" s="41" t="s">
        <v>74</v>
      </c>
      <c r="F5" s="96">
        <f>+O46</f>
        <v>583333.3333333334</v>
      </c>
      <c r="G5" s="96"/>
      <c r="H5" s="96">
        <f>+Q46</f>
        <v>583333.3333333334</v>
      </c>
      <c r="I5" s="97"/>
    </row>
    <row r="6" spans="1:13" ht="12.75">
      <c r="A6" s="51" t="s">
        <v>36</v>
      </c>
      <c r="B6" s="39" t="s">
        <v>57</v>
      </c>
      <c r="C6" s="52" t="s">
        <v>58</v>
      </c>
      <c r="D6" s="52" t="s">
        <v>60</v>
      </c>
      <c r="E6" s="41" t="s">
        <v>61</v>
      </c>
      <c r="F6" s="96">
        <f>+O47</f>
        <v>1156150.911346668</v>
      </c>
      <c r="G6" s="96"/>
      <c r="H6" s="96">
        <f>+Q47</f>
        <v>1156536.3565384883</v>
      </c>
      <c r="I6" s="97"/>
      <c r="M6" s="47"/>
    </row>
    <row r="7" spans="1:9" ht="12.75">
      <c r="A7" s="51" t="s">
        <v>36</v>
      </c>
      <c r="B7" s="39" t="s">
        <v>57</v>
      </c>
      <c r="C7" s="52" t="s">
        <v>58</v>
      </c>
      <c r="D7" s="52" t="s">
        <v>60</v>
      </c>
      <c r="E7" s="41" t="s">
        <v>62</v>
      </c>
      <c r="F7" s="96">
        <f>+O49</f>
        <v>1706237.151540583</v>
      </c>
      <c r="G7" s="96"/>
      <c r="H7" s="96">
        <f>+Q49</f>
        <v>1709182.1412809123</v>
      </c>
      <c r="I7" s="97"/>
    </row>
    <row r="8" spans="1:9" ht="12.75">
      <c r="A8" s="51" t="s">
        <v>36</v>
      </c>
      <c r="B8" s="39" t="s">
        <v>57</v>
      </c>
      <c r="C8" s="52" t="s">
        <v>58</v>
      </c>
      <c r="D8" s="52" t="s">
        <v>60</v>
      </c>
      <c r="E8" s="41" t="s">
        <v>63</v>
      </c>
      <c r="F8" s="96">
        <f>+O52</f>
        <v>1670018.4133325235</v>
      </c>
      <c r="G8" s="96"/>
      <c r="H8" s="96">
        <f>+Q52</f>
        <v>1677954.4218110745</v>
      </c>
      <c r="I8" s="97"/>
    </row>
    <row r="9" spans="1:9" ht="12.75">
      <c r="A9" s="51" t="s">
        <v>36</v>
      </c>
      <c r="B9" s="39" t="s">
        <v>57</v>
      </c>
      <c r="C9" s="52" t="s">
        <v>58</v>
      </c>
      <c r="D9" s="52" t="s">
        <v>60</v>
      </c>
      <c r="E9" s="41" t="s">
        <v>64</v>
      </c>
      <c r="F9" s="96">
        <f>+O55</f>
        <v>1630971.8754062231</v>
      </c>
      <c r="G9" s="96"/>
      <c r="H9" s="96">
        <f>+Q55</f>
        <v>1646177.0232222602</v>
      </c>
      <c r="I9" s="97"/>
    </row>
    <row r="10" spans="1:9" ht="12.75">
      <c r="A10" s="51" t="s">
        <v>36</v>
      </c>
      <c r="B10" s="39" t="s">
        <v>57</v>
      </c>
      <c r="C10" s="52" t="s">
        <v>58</v>
      </c>
      <c r="D10" s="52" t="s">
        <v>60</v>
      </c>
      <c r="E10" s="41" t="s">
        <v>65</v>
      </c>
      <c r="F10" s="96">
        <f>+O58</f>
        <v>3134303.259238453</v>
      </c>
      <c r="G10" s="96"/>
      <c r="H10" s="96">
        <f>+Q58</f>
        <v>3194774.5858555795</v>
      </c>
      <c r="I10" s="97"/>
    </row>
    <row r="11" spans="1:9" ht="12.75">
      <c r="A11" s="51" t="s">
        <v>36</v>
      </c>
      <c r="B11" s="39" t="s">
        <v>57</v>
      </c>
      <c r="C11" s="52" t="s">
        <v>58</v>
      </c>
      <c r="D11" s="52" t="s">
        <v>60</v>
      </c>
      <c r="E11" s="41" t="s">
        <v>66</v>
      </c>
      <c r="F11" s="96">
        <f>+O64</f>
        <v>2948427.4759393274</v>
      </c>
      <c r="G11" s="96"/>
      <c r="H11" s="96">
        <f>+Q64</f>
        <v>3060823.6949230162</v>
      </c>
      <c r="I11" s="97"/>
    </row>
    <row r="12" spans="1:9" ht="12.75">
      <c r="A12" s="51" t="s">
        <v>36</v>
      </c>
      <c r="B12" s="39" t="s">
        <v>57</v>
      </c>
      <c r="C12" s="52" t="s">
        <v>58</v>
      </c>
      <c r="D12" s="52" t="s">
        <v>60</v>
      </c>
      <c r="E12" s="41" t="s">
        <v>67</v>
      </c>
      <c r="F12" s="96">
        <f>+O70</f>
        <v>5281187.154759148</v>
      </c>
      <c r="G12" s="96"/>
      <c r="H12" s="96">
        <f>+Q70</f>
        <v>5700597.024203142</v>
      </c>
      <c r="I12" s="97"/>
    </row>
    <row r="13" spans="1:14" ht="12.75">
      <c r="A13" s="51" t="s">
        <v>36</v>
      </c>
      <c r="B13" s="39" t="s">
        <v>57</v>
      </c>
      <c r="C13" s="52" t="s">
        <v>58</v>
      </c>
      <c r="D13" s="52" t="s">
        <v>60</v>
      </c>
      <c r="E13" s="41" t="s">
        <v>68</v>
      </c>
      <c r="F13" s="96">
        <f>+O82</f>
        <v>4448942.7452019015</v>
      </c>
      <c r="G13" s="96"/>
      <c r="H13" s="96">
        <f>+Q82</f>
        <v>5105474.681914538</v>
      </c>
      <c r="I13" s="97"/>
      <c r="M13" s="47"/>
      <c r="N13" s="100"/>
    </row>
    <row r="14" spans="1:14" ht="12.75">
      <c r="A14" s="51" t="s">
        <v>36</v>
      </c>
      <c r="B14" s="39" t="s">
        <v>57</v>
      </c>
      <c r="C14" s="52" t="s">
        <v>58</v>
      </c>
      <c r="D14" s="52" t="s">
        <v>60</v>
      </c>
      <c r="E14" s="41" t="s">
        <v>107</v>
      </c>
      <c r="F14" s="96">
        <f>+O94</f>
        <v>3659798.023829013</v>
      </c>
      <c r="G14" s="96"/>
      <c r="H14" s="96">
        <f>+Q94</f>
        <v>4467330.897382537</v>
      </c>
      <c r="I14" s="97"/>
      <c r="M14" s="47"/>
      <c r="N14" s="49"/>
    </row>
    <row r="15" spans="1:14" ht="12.75">
      <c r="A15" s="51" t="s">
        <v>36</v>
      </c>
      <c r="B15" s="39" t="s">
        <v>57</v>
      </c>
      <c r="C15" s="52" t="s">
        <v>58</v>
      </c>
      <c r="D15" s="52" t="s">
        <v>60</v>
      </c>
      <c r="E15" s="41" t="s">
        <v>98</v>
      </c>
      <c r="F15" s="96">
        <f>+O106</f>
        <v>2913849.033461479</v>
      </c>
      <c r="G15" s="96"/>
      <c r="H15" s="96">
        <f>+Q106</f>
        <v>3783055.647068812</v>
      </c>
      <c r="I15" s="97"/>
      <c r="M15" s="47"/>
      <c r="N15" s="49"/>
    </row>
    <row r="16" spans="1:14" ht="12.75">
      <c r="A16" s="51" t="s">
        <v>36</v>
      </c>
      <c r="B16" s="39" t="s">
        <v>57</v>
      </c>
      <c r="C16" s="52" t="s">
        <v>58</v>
      </c>
      <c r="D16" s="52" t="s">
        <v>60</v>
      </c>
      <c r="E16" s="41" t="s">
        <v>122</v>
      </c>
      <c r="F16" s="96">
        <f>+O118</f>
        <v>2208471.003155057</v>
      </c>
      <c r="G16" s="96"/>
      <c r="H16" s="96">
        <f>+Q118</f>
        <v>3049314.083581988</v>
      </c>
      <c r="I16" s="97"/>
      <c r="M16" s="47"/>
      <c r="N16" s="49"/>
    </row>
    <row r="17" spans="1:14" ht="12.75">
      <c r="A17" s="51" t="s">
        <v>36</v>
      </c>
      <c r="B17" s="39" t="s">
        <v>57</v>
      </c>
      <c r="C17" s="52" t="s">
        <v>58</v>
      </c>
      <c r="D17" s="52" t="s">
        <v>60</v>
      </c>
      <c r="E17" s="41" t="s">
        <v>123</v>
      </c>
      <c r="F17" s="96">
        <f>+O130</f>
        <v>1541196.385568457</v>
      </c>
      <c r="G17" s="96"/>
      <c r="H17" s="96">
        <f>+Q130</f>
        <v>2262530.28314312</v>
      </c>
      <c r="I17" s="97"/>
      <c r="M17" s="47"/>
      <c r="N17" s="49"/>
    </row>
    <row r="18" spans="1:14" ht="12.75">
      <c r="A18" s="51" t="s">
        <v>36</v>
      </c>
      <c r="B18" s="39" t="s">
        <v>57</v>
      </c>
      <c r="C18" s="52" t="s">
        <v>58</v>
      </c>
      <c r="D18" s="52" t="s">
        <v>60</v>
      </c>
      <c r="E18" s="41" t="s">
        <v>124</v>
      </c>
      <c r="F18" s="96">
        <f>+O142</f>
        <v>909705.4214583723</v>
      </c>
      <c r="G18" s="96"/>
      <c r="H18" s="96">
        <f>+Q142</f>
        <v>1418869.8181541509</v>
      </c>
      <c r="I18" s="97"/>
      <c r="M18" s="47"/>
      <c r="N18" s="49"/>
    </row>
    <row r="19" spans="1:14" ht="12.75">
      <c r="A19" s="51" t="s">
        <v>36</v>
      </c>
      <c r="B19" s="39" t="s">
        <v>57</v>
      </c>
      <c r="C19" s="52" t="s">
        <v>58</v>
      </c>
      <c r="D19" s="52" t="s">
        <v>60</v>
      </c>
      <c r="E19" s="41" t="s">
        <v>125</v>
      </c>
      <c r="F19" s="96">
        <f>+O154</f>
        <v>311817.27028818463</v>
      </c>
      <c r="G19" s="96"/>
      <c r="H19" s="96">
        <f>+Q154</f>
        <v>514221.0699359193</v>
      </c>
      <c r="I19" s="97"/>
      <c r="M19" s="47"/>
      <c r="N19" s="49"/>
    </row>
    <row r="20" spans="1:14" ht="12.75">
      <c r="A20" s="51" t="s">
        <v>36</v>
      </c>
      <c r="B20" s="39" t="s">
        <v>57</v>
      </c>
      <c r="C20" s="52" t="s">
        <v>58</v>
      </c>
      <c r="D20" s="52" t="s">
        <v>59</v>
      </c>
      <c r="E20" s="41" t="s">
        <v>74</v>
      </c>
      <c r="F20" s="96">
        <f>+P46</f>
        <v>594337.0425571215</v>
      </c>
      <c r="G20" s="96"/>
      <c r="H20" s="96">
        <f>+R46</f>
        <v>577751.4588529073</v>
      </c>
      <c r="I20" s="97"/>
      <c r="M20" s="47"/>
      <c r="N20" s="49"/>
    </row>
    <row r="21" spans="1:14" ht="12.75">
      <c r="A21" s="51" t="s">
        <v>36</v>
      </c>
      <c r="B21" s="39" t="s">
        <v>57</v>
      </c>
      <c r="C21" s="52" t="s">
        <v>58</v>
      </c>
      <c r="D21" s="52" t="s">
        <v>59</v>
      </c>
      <c r="E21" s="41" t="s">
        <v>61</v>
      </c>
      <c r="F21" s="96">
        <f>+P47</f>
        <v>1247484.9720115685</v>
      </c>
      <c r="G21" s="96"/>
      <c r="H21" s="96">
        <f>+R47</f>
        <v>1165633.227833993</v>
      </c>
      <c r="I21" s="97"/>
      <c r="M21" s="47"/>
      <c r="N21" s="49"/>
    </row>
    <row r="22" spans="1:14" ht="12.75">
      <c r="A22" s="51" t="s">
        <v>36</v>
      </c>
      <c r="B22" s="39" t="s">
        <v>57</v>
      </c>
      <c r="C22" s="52" t="s">
        <v>58</v>
      </c>
      <c r="D22" s="52" t="s">
        <v>59</v>
      </c>
      <c r="E22" s="41" t="s">
        <v>62</v>
      </c>
      <c r="F22" s="96">
        <f>+P49</f>
        <v>2014201.2319383072</v>
      </c>
      <c r="G22" s="96"/>
      <c r="H22" s="96">
        <f>+R49</f>
        <v>1774072.2352778097</v>
      </c>
      <c r="I22" s="97"/>
      <c r="M22" s="47"/>
      <c r="N22" s="49"/>
    </row>
    <row r="23" spans="1:14" ht="12.75">
      <c r="A23" s="51" t="s">
        <v>36</v>
      </c>
      <c r="B23" s="39" t="s">
        <v>57</v>
      </c>
      <c r="C23" s="52" t="s">
        <v>58</v>
      </c>
      <c r="D23" s="52" t="s">
        <v>59</v>
      </c>
      <c r="E23" s="41" t="s">
        <v>63</v>
      </c>
      <c r="F23" s="96">
        <f>+P52</f>
        <v>2178663.0319330464</v>
      </c>
      <c r="G23" s="96"/>
      <c r="H23" s="96">
        <f>+R52</f>
        <v>1805299.9547476475</v>
      </c>
      <c r="I23" s="97"/>
      <c r="M23" s="47"/>
      <c r="N23" s="49"/>
    </row>
    <row r="24" spans="1:14" ht="12.75">
      <c r="A24" s="51" t="s">
        <v>36</v>
      </c>
      <c r="B24" s="39" t="s">
        <v>57</v>
      </c>
      <c r="C24" s="52" t="s">
        <v>58</v>
      </c>
      <c r="D24" s="52" t="s">
        <v>59</v>
      </c>
      <c r="E24" s="41" t="s">
        <v>64</v>
      </c>
      <c r="F24" s="96">
        <f>+P55</f>
        <v>2334312.011469027</v>
      </c>
      <c r="G24" s="96"/>
      <c r="H24" s="96">
        <f>+R55</f>
        <v>1837077.3533364618</v>
      </c>
      <c r="I24" s="97"/>
      <c r="M24" s="47"/>
      <c r="N24" s="49"/>
    </row>
    <row r="25" spans="1:14" ht="12.75">
      <c r="A25" s="51" t="s">
        <v>36</v>
      </c>
      <c r="B25" s="39" t="s">
        <v>57</v>
      </c>
      <c r="C25" s="52" t="s">
        <v>58</v>
      </c>
      <c r="D25" s="52" t="s">
        <v>59</v>
      </c>
      <c r="E25" s="41" t="s">
        <v>65</v>
      </c>
      <c r="F25" s="96">
        <f>+P58</f>
        <v>5096186.327326302</v>
      </c>
      <c r="G25" s="96"/>
      <c r="H25" s="96">
        <f>+R58</f>
        <v>3771734.167261864</v>
      </c>
      <c r="I25" s="97"/>
      <c r="M25" s="47"/>
      <c r="N25" s="49"/>
    </row>
    <row r="26" spans="1:9" ht="12.75">
      <c r="A26" s="51" t="s">
        <v>36</v>
      </c>
      <c r="B26" s="39" t="s">
        <v>57</v>
      </c>
      <c r="C26" s="52" t="s">
        <v>58</v>
      </c>
      <c r="D26" s="52" t="s">
        <v>59</v>
      </c>
      <c r="E26" s="41" t="s">
        <v>66</v>
      </c>
      <c r="F26" s="96">
        <f>+P64</f>
        <v>5593303.618569735</v>
      </c>
      <c r="G26" s="96"/>
      <c r="H26" s="96">
        <f>+R64</f>
        <v>3905685.058194428</v>
      </c>
      <c r="I26" s="97"/>
    </row>
    <row r="27" spans="1:9" ht="12.75">
      <c r="A27" s="51" t="s">
        <v>36</v>
      </c>
      <c r="B27" s="39" t="s">
        <v>57</v>
      </c>
      <c r="C27" s="52" t="s">
        <v>58</v>
      </c>
      <c r="D27" s="52" t="s">
        <v>59</v>
      </c>
      <c r="E27" s="41" t="s">
        <v>67</v>
      </c>
      <c r="F27" s="96">
        <f>+P70</f>
        <v>12029070.059782717</v>
      </c>
      <c r="G27" s="96"/>
      <c r="H27" s="96">
        <f>+R70</f>
        <v>8232420.482031746</v>
      </c>
      <c r="I27" s="97"/>
    </row>
    <row r="28" spans="1:14" ht="12.75">
      <c r="A28" s="51" t="s">
        <v>36</v>
      </c>
      <c r="B28" s="39" t="s">
        <v>57</v>
      </c>
      <c r="C28" s="52" t="s">
        <v>58</v>
      </c>
      <c r="D28" s="52" t="s">
        <v>59</v>
      </c>
      <c r="E28" s="41" t="s">
        <v>68</v>
      </c>
      <c r="F28" s="96">
        <f>+P82</f>
        <v>11567808.439288566</v>
      </c>
      <c r="G28" s="96"/>
      <c r="H28" s="96">
        <f>+R82</f>
        <v>8827542.82432035</v>
      </c>
      <c r="I28" s="97"/>
      <c r="M28" s="47"/>
      <c r="N28" s="49"/>
    </row>
    <row r="29" spans="1:14" ht="12.75">
      <c r="A29" s="51" t="s">
        <v>36</v>
      </c>
      <c r="B29" s="39" t="s">
        <v>57</v>
      </c>
      <c r="C29" s="52" t="s">
        <v>58</v>
      </c>
      <c r="D29" s="52" t="s">
        <v>59</v>
      </c>
      <c r="E29" s="41" t="s">
        <v>107</v>
      </c>
      <c r="F29" s="96">
        <f>+P94</f>
        <v>10932852.666240469</v>
      </c>
      <c r="G29" s="96"/>
      <c r="H29" s="96">
        <f>+R94</f>
        <v>9465686.608852353</v>
      </c>
      <c r="I29" s="97"/>
      <c r="M29" s="47"/>
      <c r="N29" s="49"/>
    </row>
    <row r="30" spans="1:14" ht="12.75">
      <c r="A30" s="51" t="s">
        <v>36</v>
      </c>
      <c r="B30" s="39" t="s">
        <v>57</v>
      </c>
      <c r="C30" s="52" t="s">
        <v>58</v>
      </c>
      <c r="D30" s="52" t="s">
        <v>59</v>
      </c>
      <c r="E30" s="41" t="s">
        <v>98</v>
      </c>
      <c r="F30" s="96">
        <f>+P106</f>
        <v>10336464.343991024</v>
      </c>
      <c r="G30" s="96"/>
      <c r="H30" s="96">
        <f>+R106</f>
        <v>10149961.859166075</v>
      </c>
      <c r="I30" s="97"/>
      <c r="M30" s="47"/>
      <c r="N30" s="49"/>
    </row>
    <row r="31" spans="1:14" ht="12.75">
      <c r="A31" s="51" t="s">
        <v>36</v>
      </c>
      <c r="B31" s="39" t="s">
        <v>57</v>
      </c>
      <c r="C31" s="52" t="s">
        <v>58</v>
      </c>
      <c r="D31" s="52" t="s">
        <v>59</v>
      </c>
      <c r="E31" s="41" t="s">
        <v>122</v>
      </c>
      <c r="F31" s="96">
        <f>+P118</f>
        <v>9776333.164080432</v>
      </c>
      <c r="G31" s="96"/>
      <c r="H31" s="96">
        <f>+R118</f>
        <v>10883703.422652898</v>
      </c>
      <c r="I31" s="97"/>
      <c r="M31" s="47"/>
      <c r="N31" s="49"/>
    </row>
    <row r="32" spans="1:14" ht="12.75">
      <c r="A32" s="51" t="s">
        <v>36</v>
      </c>
      <c r="B32" s="39" t="s">
        <v>57</v>
      </c>
      <c r="C32" s="52" t="s">
        <v>58</v>
      </c>
      <c r="D32" s="52" t="s">
        <v>59</v>
      </c>
      <c r="E32" s="41" t="s">
        <v>123</v>
      </c>
      <c r="F32" s="96">
        <f>+P130</f>
        <v>9250287.466288239</v>
      </c>
      <c r="G32" s="96"/>
      <c r="H32" s="96">
        <f>+R130</f>
        <v>11670487.223091766</v>
      </c>
      <c r="I32" s="97"/>
      <c r="M32" s="47"/>
      <c r="N32" s="49"/>
    </row>
    <row r="33" spans="1:14" ht="12.75">
      <c r="A33" s="51" t="s">
        <v>36</v>
      </c>
      <c r="B33" s="39" t="s">
        <v>57</v>
      </c>
      <c r="C33" s="52" t="s">
        <v>58</v>
      </c>
      <c r="D33" s="52" t="s">
        <v>59</v>
      </c>
      <c r="E33" s="41" t="s">
        <v>124</v>
      </c>
      <c r="F33" s="96">
        <f>+P142</f>
        <v>8756285.919975454</v>
      </c>
      <c r="G33" s="96"/>
      <c r="H33" s="96">
        <f>+R142</f>
        <v>12514147.688080737</v>
      </c>
      <c r="I33" s="97"/>
      <c r="M33" s="47"/>
      <c r="N33" s="49"/>
    </row>
    <row r="34" spans="1:9" ht="13.5" thickBot="1">
      <c r="A34" s="50" t="s">
        <v>36</v>
      </c>
      <c r="B34" s="50" t="s">
        <v>57</v>
      </c>
      <c r="C34" s="50" t="s">
        <v>58</v>
      </c>
      <c r="D34" s="50" t="s">
        <v>59</v>
      </c>
      <c r="E34" s="50" t="s">
        <v>125</v>
      </c>
      <c r="F34" s="55">
        <f>+P154</f>
        <v>8292409.7045479845</v>
      </c>
      <c r="G34" s="55"/>
      <c r="H34" s="55">
        <f>+R154</f>
        <v>13418796.436298968</v>
      </c>
      <c r="I34" s="56"/>
    </row>
    <row r="35" spans="5:7" ht="12.75">
      <c r="E35" s="102"/>
      <c r="F35" s="102"/>
      <c r="G35" s="102"/>
    </row>
    <row r="36" spans="1:7" ht="12.75">
      <c r="A36" s="77" t="s">
        <v>40</v>
      </c>
      <c r="B36" s="78" t="s">
        <v>113</v>
      </c>
      <c r="E36" s="102"/>
      <c r="F36" s="102"/>
      <c r="G36" s="102"/>
    </row>
    <row r="37" spans="1:7" ht="12.75">
      <c r="A37" s="77" t="s">
        <v>19</v>
      </c>
      <c r="B37" s="78" t="s">
        <v>36</v>
      </c>
      <c r="E37" s="102"/>
      <c r="F37" s="102"/>
      <c r="G37" s="102"/>
    </row>
    <row r="38" spans="1:2" ht="12.75">
      <c r="A38" s="77" t="s">
        <v>85</v>
      </c>
      <c r="B38" s="78" t="s">
        <v>96</v>
      </c>
    </row>
    <row r="39" spans="1:3" ht="12.75">
      <c r="A39" s="77" t="s">
        <v>44</v>
      </c>
      <c r="B39" s="114">
        <v>0.07</v>
      </c>
      <c r="C39" s="115">
        <f>+B39/12</f>
        <v>0.005833333333333334</v>
      </c>
    </row>
    <row r="40" spans="1:4" ht="12.75">
      <c r="A40" s="77" t="s">
        <v>17</v>
      </c>
      <c r="B40" s="78" t="s">
        <v>121</v>
      </c>
      <c r="D40" s="110"/>
    </row>
    <row r="41" spans="1:8" ht="12.75">
      <c r="A41" s="77" t="s">
        <v>41</v>
      </c>
      <c r="B41" s="78" t="s">
        <v>70</v>
      </c>
      <c r="G41" s="33"/>
      <c r="H41" s="49"/>
    </row>
    <row r="42" spans="1:11" ht="27.75" customHeight="1" thickBot="1">
      <c r="A42" s="116" t="s">
        <v>115</v>
      </c>
      <c r="B42" s="78" t="s">
        <v>112</v>
      </c>
      <c r="F42" s="113"/>
      <c r="H42" s="49"/>
      <c r="I42" s="100"/>
      <c r="J42" s="100"/>
      <c r="K42" s="49"/>
    </row>
    <row r="43" spans="14:18" ht="13.5" thickBot="1">
      <c r="N43" s="221" t="s">
        <v>106</v>
      </c>
      <c r="O43" s="222"/>
      <c r="P43" s="222"/>
      <c r="Q43" s="222"/>
      <c r="R43" s="223"/>
    </row>
    <row r="44" spans="1:18" s="141" customFormat="1" ht="12.75">
      <c r="A44" s="232" t="s">
        <v>99</v>
      </c>
      <c r="B44" s="233"/>
      <c r="C44" s="233"/>
      <c r="D44" s="233"/>
      <c r="E44" s="233"/>
      <c r="F44" s="233"/>
      <c r="G44" s="233"/>
      <c r="H44" s="233"/>
      <c r="I44" s="234"/>
      <c r="J44" s="232" t="s">
        <v>100</v>
      </c>
      <c r="K44" s="233"/>
      <c r="L44" s="233"/>
      <c r="M44" s="235"/>
      <c r="N44" s="159"/>
      <c r="O44" s="233" t="s">
        <v>108</v>
      </c>
      <c r="P44" s="233"/>
      <c r="Q44" s="233" t="s">
        <v>109</v>
      </c>
      <c r="R44" s="234"/>
    </row>
    <row r="45" spans="1:18" s="141" customFormat="1" ht="26.25" thickBot="1">
      <c r="A45" s="142" t="s">
        <v>95</v>
      </c>
      <c r="B45" s="143" t="s">
        <v>101</v>
      </c>
      <c r="C45" s="143" t="s">
        <v>102</v>
      </c>
      <c r="D45" s="143" t="s">
        <v>44</v>
      </c>
      <c r="E45" s="143" t="s">
        <v>103</v>
      </c>
      <c r="F45" s="193" t="s">
        <v>137</v>
      </c>
      <c r="G45" s="193" t="s">
        <v>138</v>
      </c>
      <c r="H45" s="143" t="s">
        <v>104</v>
      </c>
      <c r="I45" s="144" t="s">
        <v>105</v>
      </c>
      <c r="J45" s="142" t="s">
        <v>101</v>
      </c>
      <c r="K45" s="143" t="s">
        <v>102</v>
      </c>
      <c r="L45" s="143" t="s">
        <v>44</v>
      </c>
      <c r="M45" s="145" t="s">
        <v>103</v>
      </c>
      <c r="N45" s="83" t="s">
        <v>92</v>
      </c>
      <c r="O45" s="84" t="s">
        <v>44</v>
      </c>
      <c r="P45" s="84" t="s">
        <v>103</v>
      </c>
      <c r="Q45" s="84" t="s">
        <v>44</v>
      </c>
      <c r="R45" s="85" t="s">
        <v>103</v>
      </c>
    </row>
    <row r="46" spans="1:18" ht="13.5" thickBot="1">
      <c r="A46" s="180">
        <v>1</v>
      </c>
      <c r="B46" s="81">
        <v>100000000</v>
      </c>
      <c r="C46" s="119">
        <f>+-PMT($C$39,120,+B46)</f>
        <v>1161084.7921862407</v>
      </c>
      <c r="D46" s="81">
        <f aca="true" t="shared" si="0" ref="D46:D77">+B46*$C$39</f>
        <v>583333.3333333334</v>
      </c>
      <c r="E46" s="81">
        <f>+C46-D46</f>
        <v>577751.4588529073</v>
      </c>
      <c r="F46" s="117">
        <v>0.002</v>
      </c>
      <c r="G46" s="118">
        <f>1-(1-F46)^(1/12)</f>
        <v>0.00016681963994558124</v>
      </c>
      <c r="H46" s="119">
        <f>+(B46-E46)*G46</f>
        <v>16585.58370421425</v>
      </c>
      <c r="I46" s="120">
        <f>+B46-H46-E46</f>
        <v>99405662.95744288</v>
      </c>
      <c r="J46" s="104">
        <v>100000000</v>
      </c>
      <c r="K46" s="103">
        <f aca="true" t="shared" si="1" ref="K46:K77">+-PMT($C$39,120,+$J$46)</f>
        <v>1161084.7921862407</v>
      </c>
      <c r="L46" s="80">
        <f aca="true" t="shared" si="2" ref="L46:L109">+J46*$C$39</f>
        <v>583333.3333333334</v>
      </c>
      <c r="M46" s="105">
        <f>+K46-L46</f>
        <v>577751.4588529073</v>
      </c>
      <c r="N46" s="131">
        <f>+A46/12</f>
        <v>0.08333333333333333</v>
      </c>
      <c r="O46" s="132">
        <f>+D46</f>
        <v>583333.3333333334</v>
      </c>
      <c r="P46" s="133">
        <f>+E46+H46</f>
        <v>594337.0425571215</v>
      </c>
      <c r="Q46" s="132">
        <f>+L46</f>
        <v>583333.3333333334</v>
      </c>
      <c r="R46" s="134">
        <f>+M46</f>
        <v>577751.4588529073</v>
      </c>
    </row>
    <row r="47" spans="1:18" ht="12.75">
      <c r="A47" s="180">
        <v>2</v>
      </c>
      <c r="B47" s="81">
        <f>+I46</f>
        <v>99405662.95744288</v>
      </c>
      <c r="C47" s="119">
        <f aca="true" t="shared" si="3" ref="C47:C78">+-PMT($C$39,120-A46,+B47)</f>
        <v>1160891.1004392619</v>
      </c>
      <c r="D47" s="81">
        <f t="shared" si="0"/>
        <v>579866.3672517502</v>
      </c>
      <c r="E47" s="81">
        <f aca="true" t="shared" si="4" ref="E47:E110">+C47-D47</f>
        <v>581024.7331875117</v>
      </c>
      <c r="F47" s="117">
        <f>+F46+0.002</f>
        <v>0.004</v>
      </c>
      <c r="G47" s="118">
        <f aca="true" t="shared" si="5" ref="G47:G110">1-(1-F47)^(1/12)</f>
        <v>0.0003339460107422143</v>
      </c>
      <c r="H47" s="119">
        <f>+(B47-E47)*G47</f>
        <v>33002.09369803262</v>
      </c>
      <c r="I47" s="120">
        <f>+B47-H47-E47</f>
        <v>98791636.13055733</v>
      </c>
      <c r="J47" s="106">
        <f>+J46-M46</f>
        <v>99422248.5411471</v>
      </c>
      <c r="K47" s="103">
        <f t="shared" si="1"/>
        <v>1161084.7921862407</v>
      </c>
      <c r="L47" s="80">
        <f t="shared" si="2"/>
        <v>579963.1164900247</v>
      </c>
      <c r="M47" s="105">
        <f>+K47-L47</f>
        <v>581121.6756962159</v>
      </c>
      <c r="N47" s="135">
        <f aca="true" t="shared" si="6" ref="N47:N105">+A47/12</f>
        <v>0.16666666666666666</v>
      </c>
      <c r="O47" s="215">
        <f>+D47+D48</f>
        <v>1156150.911346668</v>
      </c>
      <c r="P47" s="215">
        <f>+E47+H47+E48+H48</f>
        <v>1247484.9720115685</v>
      </c>
      <c r="Q47" s="215">
        <f>+L47+L48</f>
        <v>1156536.3565384883</v>
      </c>
      <c r="R47" s="217">
        <f>+M47+M48</f>
        <v>1165633.227833993</v>
      </c>
    </row>
    <row r="48" spans="1:18" ht="13.5" thickBot="1">
      <c r="A48" s="180">
        <v>3</v>
      </c>
      <c r="B48" s="81">
        <f aca="true" t="shared" si="7" ref="B48:B111">+I47</f>
        <v>98791636.13055733</v>
      </c>
      <c r="C48" s="119">
        <f t="shared" si="3"/>
        <v>1160503.4254873637</v>
      </c>
      <c r="D48" s="81">
        <f t="shared" si="0"/>
        <v>576284.5440949178</v>
      </c>
      <c r="E48" s="81">
        <f t="shared" si="4"/>
        <v>584218.8813924459</v>
      </c>
      <c r="F48" s="117">
        <f aca="true" t="shared" si="8" ref="F48:F75">+F47+0.002</f>
        <v>0.006</v>
      </c>
      <c r="G48" s="118">
        <f t="shared" si="5"/>
        <v>0.0005013802940021517</v>
      </c>
      <c r="H48" s="119">
        <f aca="true" t="shared" si="9" ref="H48:H105">+(B48-E48)*G48</f>
        <v>49239.26373357827</v>
      </c>
      <c r="I48" s="120">
        <f aca="true" t="shared" si="10" ref="I48:I105">+B48-H48-E48</f>
        <v>98158177.9854313</v>
      </c>
      <c r="J48" s="106">
        <f aca="true" t="shared" si="11" ref="J48:J111">+J47-M47</f>
        <v>98841126.86545089</v>
      </c>
      <c r="K48" s="103">
        <f t="shared" si="1"/>
        <v>1161084.7921862407</v>
      </c>
      <c r="L48" s="80">
        <f t="shared" si="2"/>
        <v>576573.2400484636</v>
      </c>
      <c r="M48" s="105">
        <f aca="true" t="shared" si="12" ref="M48:M111">+K48-L48</f>
        <v>584511.5521377771</v>
      </c>
      <c r="N48" s="136">
        <f t="shared" si="6"/>
        <v>0.25</v>
      </c>
      <c r="O48" s="216"/>
      <c r="P48" s="216"/>
      <c r="Q48" s="216"/>
      <c r="R48" s="218"/>
    </row>
    <row r="49" spans="1:18" ht="12.75">
      <c r="A49" s="180">
        <v>4</v>
      </c>
      <c r="B49" s="81">
        <f t="shared" si="7"/>
        <v>98158177.9854313</v>
      </c>
      <c r="C49" s="119">
        <f t="shared" si="3"/>
        <v>1159921.5719387024</v>
      </c>
      <c r="D49" s="81">
        <f t="shared" si="0"/>
        <v>572589.3715816826</v>
      </c>
      <c r="E49" s="81">
        <f t="shared" si="4"/>
        <v>587332.2003570198</v>
      </c>
      <c r="F49" s="117">
        <f t="shared" si="8"/>
        <v>0.008</v>
      </c>
      <c r="G49" s="118">
        <f t="shared" si="5"/>
        <v>0.0006691236782786492</v>
      </c>
      <c r="H49" s="119">
        <f t="shared" si="9"/>
        <v>65286.963224467734</v>
      </c>
      <c r="I49" s="120">
        <f t="shared" si="10"/>
        <v>97505558.82184981</v>
      </c>
      <c r="J49" s="106">
        <f t="shared" si="11"/>
        <v>98256615.31331311</v>
      </c>
      <c r="K49" s="103">
        <f t="shared" si="1"/>
        <v>1161084.7921862407</v>
      </c>
      <c r="L49" s="80">
        <f t="shared" si="2"/>
        <v>573163.5893276598</v>
      </c>
      <c r="M49" s="105">
        <f t="shared" si="12"/>
        <v>587921.2028585809</v>
      </c>
      <c r="N49" s="135">
        <f t="shared" si="6"/>
        <v>0.3333333333333333</v>
      </c>
      <c r="O49" s="215">
        <f>+D49+D50+D51</f>
        <v>1706237.151540583</v>
      </c>
      <c r="P49" s="215">
        <f>+E49+H49+E50+H50+E51+H51</f>
        <v>2014201.2319383072</v>
      </c>
      <c r="Q49" s="215">
        <f>+L49+L50+L51</f>
        <v>1709182.1412809123</v>
      </c>
      <c r="R49" s="217">
        <f>+M49+M50+M51</f>
        <v>1774072.2352778097</v>
      </c>
    </row>
    <row r="50" spans="1:18" ht="12.75">
      <c r="A50" s="180">
        <v>5</v>
      </c>
      <c r="B50" s="81">
        <f t="shared" si="7"/>
        <v>97505558.82184981</v>
      </c>
      <c r="C50" s="119">
        <f t="shared" si="3"/>
        <v>1159145.440949972</v>
      </c>
      <c r="D50" s="81">
        <f t="shared" si="0"/>
        <v>568782.4264607906</v>
      </c>
      <c r="E50" s="81">
        <f t="shared" si="4"/>
        <v>590363.0144891815</v>
      </c>
      <c r="F50" s="117">
        <f t="shared" si="8"/>
        <v>0.01</v>
      </c>
      <c r="G50" s="118">
        <f t="shared" si="5"/>
        <v>0.0008371773591205889</v>
      </c>
      <c r="H50" s="119">
        <f t="shared" si="9"/>
        <v>81135.20768466093</v>
      </c>
      <c r="I50" s="120">
        <f t="shared" si="10"/>
        <v>96834060.59967595</v>
      </c>
      <c r="J50" s="106">
        <f t="shared" si="11"/>
        <v>97668694.11045453</v>
      </c>
      <c r="K50" s="103">
        <f t="shared" si="1"/>
        <v>1161084.7921862407</v>
      </c>
      <c r="L50" s="80">
        <f t="shared" si="2"/>
        <v>569734.0489776514</v>
      </c>
      <c r="M50" s="105">
        <f t="shared" si="12"/>
        <v>591350.7432085893</v>
      </c>
      <c r="N50" s="137">
        <f t="shared" si="6"/>
        <v>0.4166666666666667</v>
      </c>
      <c r="O50" s="219"/>
      <c r="P50" s="219"/>
      <c r="Q50" s="219"/>
      <c r="R50" s="220"/>
    </row>
    <row r="51" spans="1:18" ht="13.5" thickBot="1">
      <c r="A51" s="180">
        <v>6</v>
      </c>
      <c r="B51" s="81">
        <f t="shared" si="7"/>
        <v>96834060.59967595</v>
      </c>
      <c r="C51" s="119">
        <f t="shared" si="3"/>
        <v>1158175.0306308805</v>
      </c>
      <c r="D51" s="81">
        <f t="shared" si="0"/>
        <v>564865.3534981097</v>
      </c>
      <c r="E51" s="81">
        <f t="shared" si="4"/>
        <v>593309.6771327708</v>
      </c>
      <c r="F51" s="117">
        <f t="shared" si="8"/>
        <v>0.012</v>
      </c>
      <c r="G51" s="118">
        <f t="shared" si="5"/>
        <v>0.0010055425391276573</v>
      </c>
      <c r="H51" s="119">
        <f t="shared" si="9"/>
        <v>96774.1690502065</v>
      </c>
      <c r="I51" s="120">
        <f t="shared" si="10"/>
        <v>96143976.75349298</v>
      </c>
      <c r="J51" s="106">
        <f t="shared" si="11"/>
        <v>97077343.36724594</v>
      </c>
      <c r="K51" s="103">
        <f t="shared" si="1"/>
        <v>1161084.7921862407</v>
      </c>
      <c r="L51" s="80">
        <f t="shared" si="2"/>
        <v>566284.5029756014</v>
      </c>
      <c r="M51" s="105">
        <f t="shared" si="12"/>
        <v>594800.2892106393</v>
      </c>
      <c r="N51" s="136">
        <f t="shared" si="6"/>
        <v>0.5</v>
      </c>
      <c r="O51" s="216"/>
      <c r="P51" s="216"/>
      <c r="Q51" s="216"/>
      <c r="R51" s="218"/>
    </row>
    <row r="52" spans="1:18" ht="12.75">
      <c r="A52" s="180">
        <v>7</v>
      </c>
      <c r="B52" s="81">
        <f t="shared" si="7"/>
        <v>96143976.75349298</v>
      </c>
      <c r="C52" s="119">
        <f t="shared" si="3"/>
        <v>1157010.4363698256</v>
      </c>
      <c r="D52" s="81">
        <f t="shared" si="0"/>
        <v>560839.8643953757</v>
      </c>
      <c r="E52" s="81">
        <f t="shared" si="4"/>
        <v>596170.5719744499</v>
      </c>
      <c r="F52" s="117">
        <f t="shared" si="8"/>
        <v>0.014</v>
      </c>
      <c r="G52" s="118">
        <f t="shared" si="5"/>
        <v>0.0011742204280067448</v>
      </c>
      <c r="H52" s="119">
        <f t="shared" si="9"/>
        <v>112194.18586956817</v>
      </c>
      <c r="I52" s="120">
        <f t="shared" si="10"/>
        <v>95435611.99564895</v>
      </c>
      <c r="J52" s="106">
        <f t="shared" si="11"/>
        <v>96482543.07803531</v>
      </c>
      <c r="K52" s="103">
        <f t="shared" si="1"/>
        <v>1161084.7921862407</v>
      </c>
      <c r="L52" s="80">
        <f t="shared" si="2"/>
        <v>562814.8346218726</v>
      </c>
      <c r="M52" s="105">
        <f t="shared" si="12"/>
        <v>598269.957564368</v>
      </c>
      <c r="N52" s="135">
        <f t="shared" si="6"/>
        <v>0.5833333333333334</v>
      </c>
      <c r="O52" s="215">
        <f>+D52+D53+D54</f>
        <v>1670018.4133325235</v>
      </c>
      <c r="P52" s="215">
        <f>+E52+H52+E53+H53+E54+H54</f>
        <v>2178663.0319330464</v>
      </c>
      <c r="Q52" s="215">
        <f>+L52+L53+L54</f>
        <v>1677954.4218110745</v>
      </c>
      <c r="R52" s="217">
        <f>+M52+M53+M54</f>
        <v>1805299.9547476475</v>
      </c>
    </row>
    <row r="53" spans="1:18" ht="12.75">
      <c r="A53" s="180">
        <v>8</v>
      </c>
      <c r="B53" s="81">
        <f t="shared" si="7"/>
        <v>95435611.99564895</v>
      </c>
      <c r="C53" s="119">
        <f t="shared" si="3"/>
        <v>1155651.8510800232</v>
      </c>
      <c r="D53" s="81">
        <f t="shared" si="0"/>
        <v>556707.7366412856</v>
      </c>
      <c r="E53" s="81">
        <f t="shared" si="4"/>
        <v>598944.1144387376</v>
      </c>
      <c r="F53" s="117">
        <f t="shared" si="8"/>
        <v>0.016</v>
      </c>
      <c r="G53" s="118">
        <f t="shared" si="5"/>
        <v>0.0013432122426282334</v>
      </c>
      <c r="H53" s="119">
        <f t="shared" si="9"/>
        <v>127385.77334810932</v>
      </c>
      <c r="I53" s="120">
        <f t="shared" si="10"/>
        <v>94709282.1078621</v>
      </c>
      <c r="J53" s="106">
        <f t="shared" si="11"/>
        <v>95884273.12047094</v>
      </c>
      <c r="K53" s="103">
        <f t="shared" si="1"/>
        <v>1161084.7921862407</v>
      </c>
      <c r="L53" s="80">
        <f t="shared" si="2"/>
        <v>559324.9265360805</v>
      </c>
      <c r="M53" s="105">
        <f t="shared" si="12"/>
        <v>601759.8656501601</v>
      </c>
      <c r="N53" s="137">
        <f t="shared" si="6"/>
        <v>0.6666666666666666</v>
      </c>
      <c r="O53" s="219"/>
      <c r="P53" s="219"/>
      <c r="Q53" s="219"/>
      <c r="R53" s="220"/>
    </row>
    <row r="54" spans="1:18" ht="13.5" thickBot="1">
      <c r="A54" s="180">
        <v>9</v>
      </c>
      <c r="B54" s="81">
        <f t="shared" si="7"/>
        <v>94709282.1078621</v>
      </c>
      <c r="C54" s="119">
        <f t="shared" si="3"/>
        <v>1154099.5653654365</v>
      </c>
      <c r="D54" s="81">
        <f t="shared" si="0"/>
        <v>552470.8122958622</v>
      </c>
      <c r="E54" s="81">
        <f t="shared" si="4"/>
        <v>601628.7530695742</v>
      </c>
      <c r="F54" s="117">
        <f t="shared" si="8"/>
        <v>0.018000000000000002</v>
      </c>
      <c r="G54" s="118">
        <f t="shared" si="5"/>
        <v>0.0015125192070827298</v>
      </c>
      <c r="H54" s="119">
        <f t="shared" si="9"/>
        <v>142339.6332326072</v>
      </c>
      <c r="I54" s="120">
        <f t="shared" si="10"/>
        <v>93965313.72155991</v>
      </c>
      <c r="J54" s="106">
        <f t="shared" si="11"/>
        <v>95282513.25482078</v>
      </c>
      <c r="K54" s="103">
        <f t="shared" si="1"/>
        <v>1161084.7921862407</v>
      </c>
      <c r="L54" s="80">
        <f t="shared" si="2"/>
        <v>555814.6606531212</v>
      </c>
      <c r="M54" s="105">
        <f t="shared" si="12"/>
        <v>605270.1315331195</v>
      </c>
      <c r="N54" s="136">
        <f t="shared" si="6"/>
        <v>0.75</v>
      </c>
      <c r="O54" s="216"/>
      <c r="P54" s="216"/>
      <c r="Q54" s="216"/>
      <c r="R54" s="218"/>
    </row>
    <row r="55" spans="1:18" ht="12.75">
      <c r="A55" s="180">
        <v>10</v>
      </c>
      <c r="B55" s="81">
        <f t="shared" si="7"/>
        <v>93965313.72155991</v>
      </c>
      <c r="C55" s="119">
        <f t="shared" si="3"/>
        <v>1152353.9676059356</v>
      </c>
      <c r="D55" s="81">
        <f t="shared" si="0"/>
        <v>548130.9967090995</v>
      </c>
      <c r="E55" s="81">
        <f t="shared" si="4"/>
        <v>604222.9708968361</v>
      </c>
      <c r="F55" s="117">
        <f t="shared" si="8"/>
        <v>0.020000000000000004</v>
      </c>
      <c r="G55" s="118">
        <f t="shared" si="5"/>
        <v>0.001682142552739574</v>
      </c>
      <c r="H55" s="119">
        <f t="shared" si="9"/>
        <v>157046.6635218714</v>
      </c>
      <c r="I55" s="120">
        <f t="shared" si="10"/>
        <v>93204044.0871412</v>
      </c>
      <c r="J55" s="106">
        <f t="shared" si="11"/>
        <v>94677243.12328766</v>
      </c>
      <c r="K55" s="103">
        <f t="shared" si="1"/>
        <v>1161084.7921862407</v>
      </c>
      <c r="L55" s="80">
        <f t="shared" si="2"/>
        <v>552283.9182191781</v>
      </c>
      <c r="M55" s="105">
        <f t="shared" si="12"/>
        <v>608800.8739670626</v>
      </c>
      <c r="N55" s="138">
        <f t="shared" si="6"/>
        <v>0.8333333333333334</v>
      </c>
      <c r="O55" s="215">
        <f>+D55+D56+D57</f>
        <v>1630971.8754062231</v>
      </c>
      <c r="P55" s="215">
        <f>+E55+H55+E56+H56+E57+H57</f>
        <v>2334312.011469027</v>
      </c>
      <c r="Q55" s="215">
        <f>+L55+L56+L57</f>
        <v>1646177.0232222602</v>
      </c>
      <c r="R55" s="217">
        <f>+M55+M56+M57</f>
        <v>1837077.3533364618</v>
      </c>
    </row>
    <row r="56" spans="1:18" ht="12.75">
      <c r="A56" s="180">
        <v>11</v>
      </c>
      <c r="B56" s="81">
        <f t="shared" si="7"/>
        <v>93204044.0871412</v>
      </c>
      <c r="C56" s="119">
        <f t="shared" si="3"/>
        <v>1150415.5439612071</v>
      </c>
      <c r="D56" s="81">
        <f t="shared" si="0"/>
        <v>543690.2571749904</v>
      </c>
      <c r="E56" s="81">
        <f t="shared" si="4"/>
        <v>606725.2867862168</v>
      </c>
      <c r="F56" s="117">
        <f t="shared" si="8"/>
        <v>0.022000000000000006</v>
      </c>
      <c r="G56" s="118">
        <f t="shared" si="5"/>
        <v>0.0018520835183041262</v>
      </c>
      <c r="H56" s="119">
        <f t="shared" si="9"/>
        <v>171497.96798929028</v>
      </c>
      <c r="I56" s="120">
        <f t="shared" si="10"/>
        <v>92425820.83236569</v>
      </c>
      <c r="J56" s="106">
        <f t="shared" si="11"/>
        <v>94068442.2493206</v>
      </c>
      <c r="K56" s="103">
        <f t="shared" si="1"/>
        <v>1161084.7921862407</v>
      </c>
      <c r="L56" s="80">
        <f t="shared" si="2"/>
        <v>548732.5797877035</v>
      </c>
      <c r="M56" s="105">
        <f t="shared" si="12"/>
        <v>612352.2123985372</v>
      </c>
      <c r="N56" s="139">
        <f t="shared" si="6"/>
        <v>0.9166666666666666</v>
      </c>
      <c r="O56" s="219"/>
      <c r="P56" s="219"/>
      <c r="Q56" s="219"/>
      <c r="R56" s="220"/>
    </row>
    <row r="57" spans="1:18" ht="13.5" thickBot="1">
      <c r="A57" s="180">
        <v>12</v>
      </c>
      <c r="B57" s="81">
        <f t="shared" si="7"/>
        <v>92425820.83236569</v>
      </c>
      <c r="C57" s="119">
        <f t="shared" si="3"/>
        <v>1148284.8782930358</v>
      </c>
      <c r="D57" s="81">
        <f t="shared" si="0"/>
        <v>539150.6215221332</v>
      </c>
      <c r="E57" s="81">
        <f t="shared" si="4"/>
        <v>609134.2567709025</v>
      </c>
      <c r="F57" s="117">
        <f t="shared" si="8"/>
        <v>0.024000000000000007</v>
      </c>
      <c r="G57" s="118">
        <f t="shared" si="5"/>
        <v>0.002022343349877165</v>
      </c>
      <c r="H57" s="119">
        <f t="shared" si="9"/>
        <v>185684.86550391006</v>
      </c>
      <c r="I57" s="120">
        <f t="shared" si="10"/>
        <v>91631001.71009088</v>
      </c>
      <c r="J57" s="106">
        <f t="shared" si="11"/>
        <v>93456090.03692205</v>
      </c>
      <c r="K57" s="103">
        <f t="shared" si="1"/>
        <v>1161084.7921862407</v>
      </c>
      <c r="L57" s="80">
        <f t="shared" si="2"/>
        <v>545160.5252153786</v>
      </c>
      <c r="M57" s="105">
        <f t="shared" si="12"/>
        <v>615924.266970862</v>
      </c>
      <c r="N57" s="140">
        <f t="shared" si="6"/>
        <v>1</v>
      </c>
      <c r="O57" s="216"/>
      <c r="P57" s="216"/>
      <c r="Q57" s="216"/>
      <c r="R57" s="218"/>
    </row>
    <row r="58" spans="1:18" ht="12.75">
      <c r="A58" s="180">
        <v>13</v>
      </c>
      <c r="B58" s="81">
        <f t="shared" si="7"/>
        <v>91631001.71009088</v>
      </c>
      <c r="C58" s="119">
        <f t="shared" si="3"/>
        <v>1145962.6520056552</v>
      </c>
      <c r="D58" s="81">
        <f t="shared" si="0"/>
        <v>534514.1766421968</v>
      </c>
      <c r="E58" s="81">
        <f t="shared" si="4"/>
        <v>611448.4753634584</v>
      </c>
      <c r="F58" s="117">
        <f t="shared" si="8"/>
        <v>0.02600000000000001</v>
      </c>
      <c r="G58" s="118">
        <f t="shared" si="5"/>
        <v>0.0021929233010143934</v>
      </c>
      <c r="H58" s="119">
        <f t="shared" si="9"/>
        <v>199598.89913635375</v>
      </c>
      <c r="I58" s="120">
        <f t="shared" si="10"/>
        <v>90819954.33559106</v>
      </c>
      <c r="J58" s="106">
        <f t="shared" si="11"/>
        <v>92840165.7699512</v>
      </c>
      <c r="K58" s="103">
        <f t="shared" si="1"/>
        <v>1161084.7921862407</v>
      </c>
      <c r="L58" s="80">
        <f t="shared" si="2"/>
        <v>541567.6336580487</v>
      </c>
      <c r="M58" s="105">
        <f t="shared" si="12"/>
        <v>619517.158528192</v>
      </c>
      <c r="N58" s="138">
        <f t="shared" si="6"/>
        <v>1.0833333333333333</v>
      </c>
      <c r="O58" s="226">
        <f>+SUM(D58:D63)</f>
        <v>3134303.259238453</v>
      </c>
      <c r="P58" s="226">
        <f>+SUM(E58:E63)+SUM(H58:H63)</f>
        <v>5096186.327326302</v>
      </c>
      <c r="Q58" s="226">
        <f>+SUM(L58:L63)</f>
        <v>3194774.5858555795</v>
      </c>
      <c r="R58" s="229">
        <f>+SUM(M58:M63)</f>
        <v>3771734.167261864</v>
      </c>
    </row>
    <row r="59" spans="1:18" ht="12.75">
      <c r="A59" s="180">
        <v>14</v>
      </c>
      <c r="B59" s="81">
        <f t="shared" si="7"/>
        <v>90819954.33559106</v>
      </c>
      <c r="C59" s="119">
        <f t="shared" si="3"/>
        <v>1143449.64380398</v>
      </c>
      <c r="D59" s="81">
        <f t="shared" si="0"/>
        <v>529783.0669576145</v>
      </c>
      <c r="E59" s="81">
        <f t="shared" si="4"/>
        <v>613666.5768463655</v>
      </c>
      <c r="F59" s="117">
        <f t="shared" si="8"/>
        <v>0.02800000000000001</v>
      </c>
      <c r="G59" s="118">
        <f t="shared" si="5"/>
        <v>0.002363824632785727</v>
      </c>
      <c r="H59" s="119">
        <f t="shared" si="9"/>
        <v>213231.84503627833</v>
      </c>
      <c r="I59" s="120">
        <f t="shared" si="10"/>
        <v>89993055.91370842</v>
      </c>
      <c r="J59" s="106">
        <f t="shared" si="11"/>
        <v>92220648.611423</v>
      </c>
      <c r="K59" s="103">
        <f t="shared" si="1"/>
        <v>1161084.7921862407</v>
      </c>
      <c r="L59" s="80">
        <f t="shared" si="2"/>
        <v>537953.7835666342</v>
      </c>
      <c r="M59" s="105">
        <f t="shared" si="12"/>
        <v>623131.0086196065</v>
      </c>
      <c r="N59" s="139">
        <f t="shared" si="6"/>
        <v>1.1666666666666667</v>
      </c>
      <c r="O59" s="227"/>
      <c r="P59" s="227"/>
      <c r="Q59" s="227"/>
      <c r="R59" s="230"/>
    </row>
    <row r="60" spans="1:18" ht="12.75">
      <c r="A60" s="180">
        <v>15</v>
      </c>
      <c r="B60" s="81">
        <f t="shared" si="7"/>
        <v>89993055.91370842</v>
      </c>
      <c r="C60" s="119">
        <f t="shared" si="3"/>
        <v>1140746.729369606</v>
      </c>
      <c r="D60" s="81">
        <f t="shared" si="0"/>
        <v>524959.4928299658</v>
      </c>
      <c r="E60" s="81">
        <f t="shared" si="4"/>
        <v>615787.2365396401</v>
      </c>
      <c r="F60" s="117">
        <f t="shared" si="8"/>
        <v>0.030000000000000013</v>
      </c>
      <c r="G60" s="118">
        <f t="shared" si="5"/>
        <v>0.002535048613836688</v>
      </c>
      <c r="H60" s="119">
        <f t="shared" si="9"/>
        <v>226575.7210685659</v>
      </c>
      <c r="I60" s="120">
        <f t="shared" si="10"/>
        <v>89150692.95610021</v>
      </c>
      <c r="J60" s="106">
        <f t="shared" si="11"/>
        <v>91597517.6028034</v>
      </c>
      <c r="K60" s="103">
        <f t="shared" si="1"/>
        <v>1161084.7921862407</v>
      </c>
      <c r="L60" s="80">
        <f t="shared" si="2"/>
        <v>534318.8526830198</v>
      </c>
      <c r="M60" s="105">
        <f t="shared" si="12"/>
        <v>626765.9395032208</v>
      </c>
      <c r="N60" s="139">
        <f t="shared" si="6"/>
        <v>1.25</v>
      </c>
      <c r="O60" s="227"/>
      <c r="P60" s="227"/>
      <c r="Q60" s="227"/>
      <c r="R60" s="230"/>
    </row>
    <row r="61" spans="1:18" ht="12.75">
      <c r="A61" s="180">
        <v>16</v>
      </c>
      <c r="B61" s="81">
        <f t="shared" si="7"/>
        <v>89150692.95610021</v>
      </c>
      <c r="C61" s="119">
        <f t="shared" si="3"/>
        <v>1137854.8809545788</v>
      </c>
      <c r="D61" s="81">
        <f t="shared" si="0"/>
        <v>520045.70891058457</v>
      </c>
      <c r="E61" s="81">
        <f t="shared" si="4"/>
        <v>617809.1720439942</v>
      </c>
      <c r="F61" s="117">
        <f t="shared" si="8"/>
        <v>0.032000000000000015</v>
      </c>
      <c r="G61" s="118">
        <f t="shared" si="5"/>
        <v>0.002706596520449356</v>
      </c>
      <c r="H61" s="119">
        <f t="shared" si="9"/>
        <v>239622.79519527376</v>
      </c>
      <c r="I61" s="120">
        <f t="shared" si="10"/>
        <v>88293260.98886095</v>
      </c>
      <c r="J61" s="106">
        <f t="shared" si="11"/>
        <v>90970751.66330017</v>
      </c>
      <c r="K61" s="103">
        <f t="shared" si="1"/>
        <v>1161084.7921862407</v>
      </c>
      <c r="L61" s="80">
        <f t="shared" si="2"/>
        <v>530662.7180359177</v>
      </c>
      <c r="M61" s="105">
        <f t="shared" si="12"/>
        <v>630422.0741503229</v>
      </c>
      <c r="N61" s="139">
        <f t="shared" si="6"/>
        <v>1.3333333333333333</v>
      </c>
      <c r="O61" s="227"/>
      <c r="P61" s="227"/>
      <c r="Q61" s="227"/>
      <c r="R61" s="230"/>
    </row>
    <row r="62" spans="1:18" ht="12.75">
      <c r="A62" s="180">
        <v>17</v>
      </c>
      <c r="B62" s="81">
        <f t="shared" si="7"/>
        <v>88293260.98886095</v>
      </c>
      <c r="C62" s="119">
        <f t="shared" si="3"/>
        <v>1134775.1668930107</v>
      </c>
      <c r="D62" s="81">
        <f t="shared" si="0"/>
        <v>515044.0224350222</v>
      </c>
      <c r="E62" s="81">
        <f t="shared" si="4"/>
        <v>619731.1444579884</v>
      </c>
      <c r="F62" s="117">
        <f t="shared" si="8"/>
        <v>0.034000000000000016</v>
      </c>
      <c r="G62" s="118">
        <f t="shared" si="5"/>
        <v>0.0028784696366042084</v>
      </c>
      <c r="H62" s="119">
        <f t="shared" si="9"/>
        <v>252365.59359102685</v>
      </c>
      <c r="I62" s="120">
        <f t="shared" si="10"/>
        <v>87421164.25081193</v>
      </c>
      <c r="J62" s="106">
        <f t="shared" si="11"/>
        <v>90340329.58914985</v>
      </c>
      <c r="K62" s="103">
        <f t="shared" si="1"/>
        <v>1161084.7921862407</v>
      </c>
      <c r="L62" s="80">
        <f t="shared" si="2"/>
        <v>526985.2559367075</v>
      </c>
      <c r="M62" s="105">
        <f t="shared" si="12"/>
        <v>634099.5362495332</v>
      </c>
      <c r="N62" s="139">
        <f t="shared" si="6"/>
        <v>1.4166666666666667</v>
      </c>
      <c r="O62" s="227"/>
      <c r="P62" s="227"/>
      <c r="Q62" s="227"/>
      <c r="R62" s="230"/>
    </row>
    <row r="63" spans="1:18" ht="13.5" thickBot="1">
      <c r="A63" s="180">
        <v>18</v>
      </c>
      <c r="B63" s="81">
        <f t="shared" si="7"/>
        <v>87421164.25081193</v>
      </c>
      <c r="C63" s="119">
        <f t="shared" si="3"/>
        <v>1131508.751030737</v>
      </c>
      <c r="D63" s="81">
        <f t="shared" si="0"/>
        <v>509956.7914630696</v>
      </c>
      <c r="E63" s="81">
        <f t="shared" si="4"/>
        <v>621551.9595676675</v>
      </c>
      <c r="F63" s="117">
        <f t="shared" si="8"/>
        <v>0.03600000000000002</v>
      </c>
      <c r="G63" s="118">
        <f t="shared" si="5"/>
        <v>0.003050669254042293</v>
      </c>
      <c r="H63" s="119">
        <f t="shared" si="9"/>
        <v>264796.9084796904</v>
      </c>
      <c r="I63" s="120">
        <f t="shared" si="10"/>
        <v>86534815.38276458</v>
      </c>
      <c r="J63" s="106">
        <f t="shared" si="11"/>
        <v>89706230.05290031</v>
      </c>
      <c r="K63" s="103">
        <f t="shared" si="1"/>
        <v>1161084.7921862407</v>
      </c>
      <c r="L63" s="80">
        <f t="shared" si="2"/>
        <v>523286.34197525185</v>
      </c>
      <c r="M63" s="105">
        <f t="shared" si="12"/>
        <v>637798.4502109888</v>
      </c>
      <c r="N63" s="140">
        <f t="shared" si="6"/>
        <v>1.5</v>
      </c>
      <c r="O63" s="228"/>
      <c r="P63" s="228"/>
      <c r="Q63" s="228"/>
      <c r="R63" s="231"/>
    </row>
    <row r="64" spans="1:18" ht="12.75">
      <c r="A64" s="180">
        <v>19</v>
      </c>
      <c r="B64" s="81">
        <f t="shared" si="7"/>
        <v>86534815.38276458</v>
      </c>
      <c r="C64" s="119">
        <f t="shared" si="3"/>
        <v>1128056.8920732876</v>
      </c>
      <c r="D64" s="81">
        <f t="shared" si="0"/>
        <v>504786.4230661267</v>
      </c>
      <c r="E64" s="81">
        <f t="shared" si="4"/>
        <v>623270.469007161</v>
      </c>
      <c r="F64" s="117">
        <f t="shared" si="8"/>
        <v>0.03800000000000002</v>
      </c>
      <c r="G64" s="118">
        <f t="shared" si="5"/>
        <v>0.003223196672329065</v>
      </c>
      <c r="H64" s="119">
        <f t="shared" si="9"/>
        <v>276909.8056806719</v>
      </c>
      <c r="I64" s="120">
        <f t="shared" si="10"/>
        <v>85634635.10807674</v>
      </c>
      <c r="J64" s="106">
        <f t="shared" si="11"/>
        <v>89068431.60268933</v>
      </c>
      <c r="K64" s="103">
        <f t="shared" si="1"/>
        <v>1161084.7921862407</v>
      </c>
      <c r="L64" s="80">
        <f t="shared" si="2"/>
        <v>519565.85101568775</v>
      </c>
      <c r="M64" s="105">
        <f t="shared" si="12"/>
        <v>641518.941170553</v>
      </c>
      <c r="N64" s="138">
        <f t="shared" si="6"/>
        <v>1.5833333333333333</v>
      </c>
      <c r="O64" s="226">
        <f>+SUM(D64:D69)</f>
        <v>2948427.4759393274</v>
      </c>
      <c r="P64" s="226">
        <f>+SUM(E64:E69)+SUM(H64:H69)</f>
        <v>5593303.618569735</v>
      </c>
      <c r="Q64" s="226">
        <f>+SUM(L64:L69)</f>
        <v>3060823.6949230162</v>
      </c>
      <c r="R64" s="229">
        <f>+SUM(M64:M69)</f>
        <v>3905685.058194428</v>
      </c>
    </row>
    <row r="65" spans="1:18" ht="12.75">
      <c r="A65" s="180">
        <v>20</v>
      </c>
      <c r="B65" s="81">
        <f t="shared" si="7"/>
        <v>85634635.10807674</v>
      </c>
      <c r="C65" s="119">
        <f t="shared" si="3"/>
        <v>1124420.942852559</v>
      </c>
      <c r="D65" s="81">
        <f t="shared" si="0"/>
        <v>499535.371463781</v>
      </c>
      <c r="E65" s="81">
        <f t="shared" si="4"/>
        <v>624885.571388778</v>
      </c>
      <c r="F65" s="117">
        <f t="shared" si="8"/>
        <v>0.04000000000000002</v>
      </c>
      <c r="G65" s="118">
        <f t="shared" si="5"/>
        <v>0.003396053198917559</v>
      </c>
      <c r="H65" s="119">
        <f t="shared" si="9"/>
        <v>288697.6318532496</v>
      </c>
      <c r="I65" s="120">
        <f t="shared" si="10"/>
        <v>84721051.9048347</v>
      </c>
      <c r="J65" s="106">
        <f t="shared" si="11"/>
        <v>88426912.66151877</v>
      </c>
      <c r="K65" s="103">
        <f t="shared" si="1"/>
        <v>1161084.7921862407</v>
      </c>
      <c r="L65" s="80">
        <f t="shared" si="2"/>
        <v>515823.65719219286</v>
      </c>
      <c r="M65" s="105">
        <f t="shared" si="12"/>
        <v>645261.1349940478</v>
      </c>
      <c r="N65" s="139">
        <f t="shared" si="6"/>
        <v>1.6666666666666667</v>
      </c>
      <c r="O65" s="227"/>
      <c r="P65" s="227"/>
      <c r="Q65" s="227"/>
      <c r="R65" s="230"/>
    </row>
    <row r="66" spans="1:18" ht="12.75">
      <c r="A66" s="180">
        <v>21</v>
      </c>
      <c r="B66" s="81">
        <f t="shared" si="7"/>
        <v>84721051.9048347</v>
      </c>
      <c r="C66" s="119">
        <f t="shared" si="3"/>
        <v>1120602.3495126546</v>
      </c>
      <c r="D66" s="81">
        <f t="shared" si="0"/>
        <v>494206.1361115358</v>
      </c>
      <c r="E66" s="81">
        <f t="shared" si="4"/>
        <v>626396.2134011188</v>
      </c>
      <c r="F66" s="117">
        <f t="shared" si="8"/>
        <v>0.04200000000000002</v>
      </c>
      <c r="G66" s="118">
        <f t="shared" si="5"/>
        <v>0.0035692401492131154</v>
      </c>
      <c r="H66" s="119">
        <f t="shared" si="9"/>
        <v>300154.02142811794</v>
      </c>
      <c r="I66" s="120">
        <f t="shared" si="10"/>
        <v>83794501.67000546</v>
      </c>
      <c r="J66" s="106">
        <f t="shared" si="11"/>
        <v>87781651.52652472</v>
      </c>
      <c r="K66" s="103">
        <f t="shared" si="1"/>
        <v>1161084.7921862407</v>
      </c>
      <c r="L66" s="80">
        <f t="shared" si="2"/>
        <v>512059.6339047276</v>
      </c>
      <c r="M66" s="105">
        <f t="shared" si="12"/>
        <v>649025.158281513</v>
      </c>
      <c r="N66" s="139">
        <f t="shared" si="6"/>
        <v>1.75</v>
      </c>
      <c r="O66" s="227"/>
      <c r="P66" s="227"/>
      <c r="Q66" s="227"/>
      <c r="R66" s="230"/>
    </row>
    <row r="67" spans="1:18" ht="12.75">
      <c r="A67" s="180">
        <v>22</v>
      </c>
      <c r="B67" s="81">
        <f t="shared" si="7"/>
        <v>83794501.67000546</v>
      </c>
      <c r="C67" s="119">
        <f t="shared" si="3"/>
        <v>1116602.6506154712</v>
      </c>
      <c r="D67" s="81">
        <f t="shared" si="0"/>
        <v>488801.2597416985</v>
      </c>
      <c r="E67" s="81">
        <f t="shared" si="4"/>
        <v>627801.3908737727</v>
      </c>
      <c r="F67" s="117">
        <f t="shared" si="8"/>
        <v>0.044000000000000025</v>
      </c>
      <c r="G67" s="118">
        <f t="shared" si="5"/>
        <v>0.0037427588466381057</v>
      </c>
      <c r="H67" s="119">
        <f t="shared" si="9"/>
        <v>311272.9032154199</v>
      </c>
      <c r="I67" s="120">
        <f t="shared" si="10"/>
        <v>82855427.37591626</v>
      </c>
      <c r="J67" s="106">
        <f t="shared" si="11"/>
        <v>87132626.3682432</v>
      </c>
      <c r="K67" s="103">
        <f t="shared" si="1"/>
        <v>1161084.7921862407</v>
      </c>
      <c r="L67" s="80">
        <f t="shared" si="2"/>
        <v>508273.65381475206</v>
      </c>
      <c r="M67" s="105">
        <f t="shared" si="12"/>
        <v>652811.1383714885</v>
      </c>
      <c r="N67" s="139">
        <f t="shared" si="6"/>
        <v>1.8333333333333333</v>
      </c>
      <c r="O67" s="227"/>
      <c r="P67" s="227"/>
      <c r="Q67" s="227"/>
      <c r="R67" s="230"/>
    </row>
    <row r="68" spans="1:18" ht="12.75">
      <c r="A68" s="180">
        <v>23</v>
      </c>
      <c r="B68" s="81">
        <f t="shared" si="7"/>
        <v>82855427.37591626</v>
      </c>
      <c r="C68" s="119">
        <f t="shared" si="3"/>
        <v>1112423.4761667007</v>
      </c>
      <c r="D68" s="81">
        <f t="shared" si="0"/>
        <v>483323.3263595115</v>
      </c>
      <c r="E68" s="81">
        <f t="shared" si="4"/>
        <v>629100.1498071891</v>
      </c>
      <c r="F68" s="117">
        <f t="shared" si="8"/>
        <v>0.04600000000000003</v>
      </c>
      <c r="G68" s="118">
        <f t="shared" si="5"/>
        <v>0.003916610622698213</v>
      </c>
      <c r="H68" s="119">
        <f t="shared" si="9"/>
        <v>322048.5066792381</v>
      </c>
      <c r="I68" s="120">
        <f t="shared" si="10"/>
        <v>81904278.71942984</v>
      </c>
      <c r="J68" s="106">
        <f t="shared" si="11"/>
        <v>86479815.22987172</v>
      </c>
      <c r="K68" s="103">
        <f t="shared" si="1"/>
        <v>1161084.7921862407</v>
      </c>
      <c r="L68" s="80">
        <f t="shared" si="2"/>
        <v>504465.5888409184</v>
      </c>
      <c r="M68" s="105">
        <f t="shared" si="12"/>
        <v>656619.2033453223</v>
      </c>
      <c r="N68" s="139">
        <f t="shared" si="6"/>
        <v>1.9166666666666667</v>
      </c>
      <c r="O68" s="227"/>
      <c r="P68" s="227"/>
      <c r="Q68" s="227"/>
      <c r="R68" s="230"/>
    </row>
    <row r="69" spans="1:18" ht="13.5" thickBot="1">
      <c r="A69" s="180">
        <v>24</v>
      </c>
      <c r="B69" s="81">
        <f t="shared" si="7"/>
        <v>81904278.71942984</v>
      </c>
      <c r="C69" s="119">
        <f t="shared" si="3"/>
        <v>1108066.5465630074</v>
      </c>
      <c r="D69" s="81">
        <f t="shared" si="0"/>
        <v>477774.95919667406</v>
      </c>
      <c r="E69" s="81">
        <f t="shared" si="4"/>
        <v>630291.5873663333</v>
      </c>
      <c r="F69" s="117">
        <f t="shared" si="8"/>
        <v>0.04800000000000003</v>
      </c>
      <c r="G69" s="118">
        <f t="shared" si="5"/>
        <v>0.004090796817048492</v>
      </c>
      <c r="H69" s="119">
        <f t="shared" si="9"/>
        <v>332475.3678686855</v>
      </c>
      <c r="I69" s="120">
        <f t="shared" si="10"/>
        <v>80941511.76419482</v>
      </c>
      <c r="J69" s="106">
        <f t="shared" si="11"/>
        <v>85823196.02652639</v>
      </c>
      <c r="K69" s="103">
        <f t="shared" si="1"/>
        <v>1161084.7921862407</v>
      </c>
      <c r="L69" s="80">
        <f t="shared" si="2"/>
        <v>500635.3101547373</v>
      </c>
      <c r="M69" s="105">
        <f t="shared" si="12"/>
        <v>660449.4820315033</v>
      </c>
      <c r="N69" s="140">
        <f t="shared" si="6"/>
        <v>2</v>
      </c>
      <c r="O69" s="228"/>
      <c r="P69" s="228"/>
      <c r="Q69" s="228"/>
      <c r="R69" s="231"/>
    </row>
    <row r="70" spans="1:18" ht="12.75">
      <c r="A70" s="180">
        <v>25</v>
      </c>
      <c r="B70" s="81">
        <f t="shared" si="7"/>
        <v>80941511.76419482</v>
      </c>
      <c r="C70" s="119">
        <f t="shared" si="3"/>
        <v>1103533.6714612495</v>
      </c>
      <c r="D70" s="81">
        <f t="shared" si="0"/>
        <v>472158.8186244698</v>
      </c>
      <c r="E70" s="81">
        <f t="shared" si="4"/>
        <v>631374.8528367797</v>
      </c>
      <c r="F70" s="117">
        <f t="shared" si="8"/>
        <v>0.05000000000000003</v>
      </c>
      <c r="G70" s="118">
        <f t="shared" si="5"/>
        <v>0.004265318777560645</v>
      </c>
      <c r="H70" s="119">
        <f t="shared" si="9"/>
        <v>342548.3349964817</v>
      </c>
      <c r="I70" s="120">
        <f t="shared" si="10"/>
        <v>79967588.57636157</v>
      </c>
      <c r="J70" s="106">
        <f t="shared" si="11"/>
        <v>85162746.54449488</v>
      </c>
      <c r="K70" s="103">
        <f t="shared" si="1"/>
        <v>1161084.7921862407</v>
      </c>
      <c r="L70" s="80">
        <f t="shared" si="2"/>
        <v>496782.68817622017</v>
      </c>
      <c r="M70" s="105">
        <f t="shared" si="12"/>
        <v>664302.1040100205</v>
      </c>
      <c r="N70" s="138">
        <f t="shared" si="6"/>
        <v>2.0833333333333335</v>
      </c>
      <c r="O70" s="226">
        <f>+SUM(D70:D81)</f>
        <v>5281187.154759148</v>
      </c>
      <c r="P70" s="226">
        <f>+SUM(E70:E81)+SUM(H70:H81)</f>
        <v>12029070.059782717</v>
      </c>
      <c r="Q70" s="226">
        <f>+SUM(L70:L81)</f>
        <v>5700597.024203142</v>
      </c>
      <c r="R70" s="229">
        <f>+SUM(M70:M81)</f>
        <v>8232420.482031746</v>
      </c>
    </row>
    <row r="71" spans="1:18" ht="12.75">
      <c r="A71" s="180">
        <v>26</v>
      </c>
      <c r="B71" s="81">
        <f t="shared" si="7"/>
        <v>79967588.57636157</v>
      </c>
      <c r="C71" s="119">
        <f t="shared" si="3"/>
        <v>1098826.7485706955</v>
      </c>
      <c r="D71" s="81">
        <f t="shared" si="0"/>
        <v>466477.6000287758</v>
      </c>
      <c r="E71" s="81">
        <f t="shared" si="4"/>
        <v>632349.1485419197</v>
      </c>
      <c r="F71" s="117">
        <f t="shared" si="8"/>
        <v>0.05200000000000003</v>
      </c>
      <c r="G71" s="118">
        <f t="shared" si="5"/>
        <v>0.004440177860390748</v>
      </c>
      <c r="H71" s="119">
        <f t="shared" si="9"/>
        <v>352262.573656204</v>
      </c>
      <c r="I71" s="120">
        <f t="shared" si="10"/>
        <v>78982976.85416345</v>
      </c>
      <c r="J71" s="106">
        <f t="shared" si="11"/>
        <v>84498444.44048487</v>
      </c>
      <c r="K71" s="103">
        <f t="shared" si="1"/>
        <v>1161084.7921862407</v>
      </c>
      <c r="L71" s="80">
        <f t="shared" si="2"/>
        <v>492907.5925694951</v>
      </c>
      <c r="M71" s="105">
        <f t="shared" si="12"/>
        <v>668177.1996167456</v>
      </c>
      <c r="N71" s="139">
        <f t="shared" si="6"/>
        <v>2.1666666666666665</v>
      </c>
      <c r="O71" s="227"/>
      <c r="P71" s="227"/>
      <c r="Q71" s="227"/>
      <c r="R71" s="230"/>
    </row>
    <row r="72" spans="1:18" ht="12.75">
      <c r="A72" s="180">
        <v>27</v>
      </c>
      <c r="B72" s="81">
        <f t="shared" si="7"/>
        <v>78982976.85416345</v>
      </c>
      <c r="C72" s="119">
        <f t="shared" si="3"/>
        <v>1093947.762369287</v>
      </c>
      <c r="D72" s="81">
        <f t="shared" si="0"/>
        <v>460734.03164928686</v>
      </c>
      <c r="E72" s="81">
        <f t="shared" si="4"/>
        <v>633213.7307200001</v>
      </c>
      <c r="F72" s="117">
        <f t="shared" si="8"/>
        <v>0.054000000000000034</v>
      </c>
      <c r="G72" s="118">
        <f t="shared" si="5"/>
        <v>0.004615375430047641</v>
      </c>
      <c r="H72" s="119">
        <f t="shared" si="9"/>
        <v>361613.57166999363</v>
      </c>
      <c r="I72" s="120">
        <f t="shared" si="10"/>
        <v>77988149.55177346</v>
      </c>
      <c r="J72" s="106">
        <f t="shared" si="11"/>
        <v>83830267.24086812</v>
      </c>
      <c r="K72" s="103">
        <f t="shared" si="1"/>
        <v>1161084.7921862407</v>
      </c>
      <c r="L72" s="80">
        <f t="shared" si="2"/>
        <v>489009.8922383974</v>
      </c>
      <c r="M72" s="105">
        <f t="shared" si="12"/>
        <v>672074.8999478433</v>
      </c>
      <c r="N72" s="139">
        <f t="shared" si="6"/>
        <v>2.25</v>
      </c>
      <c r="O72" s="227"/>
      <c r="P72" s="227"/>
      <c r="Q72" s="227"/>
      <c r="R72" s="230"/>
    </row>
    <row r="73" spans="1:18" ht="12.75">
      <c r="A73" s="180">
        <v>28</v>
      </c>
      <c r="B73" s="81">
        <f t="shared" si="7"/>
        <v>77988149.55177346</v>
      </c>
      <c r="C73" s="119">
        <f t="shared" si="3"/>
        <v>1088898.7827450922</v>
      </c>
      <c r="D73" s="81">
        <f t="shared" si="0"/>
        <v>454930.8723853452</v>
      </c>
      <c r="E73" s="81">
        <f t="shared" si="4"/>
        <v>633967.910359747</v>
      </c>
      <c r="F73" s="117">
        <f t="shared" si="8"/>
        <v>0.056000000000000036</v>
      </c>
      <c r="G73" s="118">
        <f t="shared" si="5"/>
        <v>0.004790912859462759</v>
      </c>
      <c r="H73" s="119">
        <f t="shared" si="9"/>
        <v>370597.14355906704</v>
      </c>
      <c r="I73" s="120">
        <f t="shared" si="10"/>
        <v>76983584.49785465</v>
      </c>
      <c r="J73" s="106">
        <f t="shared" si="11"/>
        <v>83158192.34092028</v>
      </c>
      <c r="K73" s="103">
        <f t="shared" si="1"/>
        <v>1161084.7921862407</v>
      </c>
      <c r="L73" s="80">
        <f t="shared" si="2"/>
        <v>485089.455322035</v>
      </c>
      <c r="M73" s="105">
        <f t="shared" si="12"/>
        <v>675995.3368642057</v>
      </c>
      <c r="N73" s="139">
        <f t="shared" si="6"/>
        <v>2.3333333333333335</v>
      </c>
      <c r="O73" s="227"/>
      <c r="P73" s="227"/>
      <c r="Q73" s="227"/>
      <c r="R73" s="230"/>
    </row>
    <row r="74" spans="1:18" ht="12.75">
      <c r="A74" s="180">
        <v>29</v>
      </c>
      <c r="B74" s="81">
        <f t="shared" si="7"/>
        <v>76983584.49785465</v>
      </c>
      <c r="C74" s="119">
        <f t="shared" si="3"/>
        <v>1083681.9635641854</v>
      </c>
      <c r="D74" s="81">
        <f t="shared" si="0"/>
        <v>449070.9095708188</v>
      </c>
      <c r="E74" s="81">
        <f t="shared" si="4"/>
        <v>634611.0539933667</v>
      </c>
      <c r="F74" s="117">
        <f t="shared" si="8"/>
        <v>0.05800000000000004</v>
      </c>
      <c r="G74" s="118">
        <f t="shared" si="5"/>
        <v>0.004966791530059078</v>
      </c>
      <c r="H74" s="119">
        <f t="shared" si="9"/>
        <v>379209.4346296757</v>
      </c>
      <c r="I74" s="120">
        <f t="shared" si="10"/>
        <v>75969764.0092316</v>
      </c>
      <c r="J74" s="106">
        <f t="shared" si="11"/>
        <v>82482197.00405608</v>
      </c>
      <c r="K74" s="103">
        <f t="shared" si="1"/>
        <v>1161084.7921862407</v>
      </c>
      <c r="L74" s="80">
        <f t="shared" si="2"/>
        <v>481146.14919032715</v>
      </c>
      <c r="M74" s="105">
        <f t="shared" si="12"/>
        <v>679938.6429959135</v>
      </c>
      <c r="N74" s="139">
        <f t="shared" si="6"/>
        <v>2.4166666666666665</v>
      </c>
      <c r="O74" s="227"/>
      <c r="P74" s="227"/>
      <c r="Q74" s="227"/>
      <c r="R74" s="230"/>
    </row>
    <row r="75" spans="1:18" ht="12.75">
      <c r="A75" s="180">
        <v>30</v>
      </c>
      <c r="B75" s="81">
        <f t="shared" si="7"/>
        <v>75969764.0092316</v>
      </c>
      <c r="C75" s="119">
        <f t="shared" si="3"/>
        <v>1078299.541166277</v>
      </c>
      <c r="D75" s="81">
        <f t="shared" si="0"/>
        <v>443156.95672051766</v>
      </c>
      <c r="E75" s="81">
        <f t="shared" si="4"/>
        <v>635142.5844457592</v>
      </c>
      <c r="F75" s="117">
        <f t="shared" si="8"/>
        <v>0.06000000000000004</v>
      </c>
      <c r="G75" s="118">
        <f t="shared" si="5"/>
        <v>0.005143012831822946</v>
      </c>
      <c r="H75" s="119">
        <f t="shared" si="9"/>
        <v>387446.9246681974</v>
      </c>
      <c r="I75" s="120">
        <f t="shared" si="10"/>
        <v>74947174.50011764</v>
      </c>
      <c r="J75" s="106">
        <f t="shared" si="11"/>
        <v>81802258.36106017</v>
      </c>
      <c r="K75" s="103">
        <f t="shared" si="1"/>
        <v>1161084.7921862407</v>
      </c>
      <c r="L75" s="80">
        <f t="shared" si="2"/>
        <v>477179.8404395177</v>
      </c>
      <c r="M75" s="105">
        <f t="shared" si="12"/>
        <v>683904.9517467229</v>
      </c>
      <c r="N75" s="139">
        <f t="shared" si="6"/>
        <v>2.5</v>
      </c>
      <c r="O75" s="227"/>
      <c r="P75" s="227"/>
      <c r="Q75" s="227"/>
      <c r="R75" s="230"/>
    </row>
    <row r="76" spans="1:18" ht="12.75">
      <c r="A76" s="180">
        <v>31</v>
      </c>
      <c r="B76" s="81">
        <f t="shared" si="7"/>
        <v>74947174.50011764</v>
      </c>
      <c r="C76" s="119">
        <f t="shared" si="3"/>
        <v>1072753.8327895103</v>
      </c>
      <c r="D76" s="81">
        <f t="shared" si="0"/>
        <v>437191.8512506863</v>
      </c>
      <c r="E76" s="81">
        <f t="shared" si="4"/>
        <v>635561.981538824</v>
      </c>
      <c r="F76" s="117">
        <f>+F75</f>
        <v>0.06000000000000004</v>
      </c>
      <c r="G76" s="118">
        <f t="shared" si="5"/>
        <v>0.005143012831822946</v>
      </c>
      <c r="H76" s="119">
        <f t="shared" si="9"/>
        <v>382185.5767365056</v>
      </c>
      <c r="I76" s="120">
        <f t="shared" si="10"/>
        <v>73929426.94184232</v>
      </c>
      <c r="J76" s="106">
        <f t="shared" si="11"/>
        <v>81118353.40931346</v>
      </c>
      <c r="K76" s="103">
        <f t="shared" si="1"/>
        <v>1161084.7921862407</v>
      </c>
      <c r="L76" s="80">
        <f t="shared" si="2"/>
        <v>473190.39488766185</v>
      </c>
      <c r="M76" s="105">
        <f t="shared" si="12"/>
        <v>687894.3972985789</v>
      </c>
      <c r="N76" s="139">
        <f t="shared" si="6"/>
        <v>2.5833333333333335</v>
      </c>
      <c r="O76" s="227"/>
      <c r="P76" s="227"/>
      <c r="Q76" s="227"/>
      <c r="R76" s="230"/>
    </row>
    <row r="77" spans="1:18" ht="12.75">
      <c r="A77" s="180">
        <v>32</v>
      </c>
      <c r="B77" s="81">
        <f t="shared" si="7"/>
        <v>73929426.94184232</v>
      </c>
      <c r="C77" s="119">
        <f t="shared" si="3"/>
        <v>1067236.6460620863</v>
      </c>
      <c r="D77" s="81">
        <f t="shared" si="0"/>
        <v>431254.9904940802</v>
      </c>
      <c r="E77" s="81">
        <f t="shared" si="4"/>
        <v>635981.6555680062</v>
      </c>
      <c r="F77" s="117">
        <f aca="true" t="shared" si="13" ref="F77:F105">+F76</f>
        <v>0.06000000000000004</v>
      </c>
      <c r="G77" s="118">
        <f t="shared" si="5"/>
        <v>0.005143012831822946</v>
      </c>
      <c r="H77" s="119">
        <f t="shared" si="9"/>
        <v>376949.12959582184</v>
      </c>
      <c r="I77" s="120">
        <f t="shared" si="10"/>
        <v>72916496.1566785</v>
      </c>
      <c r="J77" s="106">
        <f t="shared" si="11"/>
        <v>80430459.01201488</v>
      </c>
      <c r="K77" s="103">
        <f t="shared" si="1"/>
        <v>1161084.7921862407</v>
      </c>
      <c r="L77" s="80">
        <f t="shared" si="2"/>
        <v>469177.67757008685</v>
      </c>
      <c r="M77" s="105">
        <f t="shared" si="12"/>
        <v>691907.1146161538</v>
      </c>
      <c r="N77" s="139">
        <f t="shared" si="6"/>
        <v>2.6666666666666665</v>
      </c>
      <c r="O77" s="227"/>
      <c r="P77" s="227"/>
      <c r="Q77" s="227"/>
      <c r="R77" s="230"/>
    </row>
    <row r="78" spans="1:18" ht="12.75">
      <c r="A78" s="180">
        <v>33</v>
      </c>
      <c r="B78" s="81">
        <f t="shared" si="7"/>
        <v>72916496.1566785</v>
      </c>
      <c r="C78" s="119">
        <f t="shared" si="3"/>
        <v>1061747.8342967972</v>
      </c>
      <c r="D78" s="81">
        <f aca="true" t="shared" si="14" ref="D78:D109">+B78*$C$39</f>
        <v>425346.2275806246</v>
      </c>
      <c r="E78" s="81">
        <f t="shared" si="4"/>
        <v>636401.6067161725</v>
      </c>
      <c r="F78" s="117">
        <f t="shared" si="13"/>
        <v>0.06000000000000004</v>
      </c>
      <c r="G78" s="118">
        <f t="shared" si="5"/>
        <v>0.005143012831822946</v>
      </c>
      <c r="H78" s="119">
        <f t="shared" si="9"/>
        <v>371737.45375583204</v>
      </c>
      <c r="I78" s="120">
        <f t="shared" si="10"/>
        <v>71908357.0962065</v>
      </c>
      <c r="J78" s="106">
        <f t="shared" si="11"/>
        <v>79738551.89739873</v>
      </c>
      <c r="K78" s="103">
        <f aca="true" t="shared" si="15" ref="K78:K109">+-PMT($C$39,120,+$J$46)</f>
        <v>1161084.7921862407</v>
      </c>
      <c r="L78" s="80">
        <f t="shared" si="2"/>
        <v>465141.55273482593</v>
      </c>
      <c r="M78" s="105">
        <f t="shared" si="12"/>
        <v>695943.2394514147</v>
      </c>
      <c r="N78" s="139">
        <f t="shared" si="6"/>
        <v>2.75</v>
      </c>
      <c r="O78" s="227"/>
      <c r="P78" s="227"/>
      <c r="Q78" s="227"/>
      <c r="R78" s="230"/>
    </row>
    <row r="79" spans="1:18" ht="12.75">
      <c r="A79" s="180">
        <v>34</v>
      </c>
      <c r="B79" s="81">
        <f t="shared" si="7"/>
        <v>71908357.0962065</v>
      </c>
      <c r="C79" s="119">
        <f aca="true" t="shared" si="16" ref="C79:C110">+-PMT($C$39,120-A78,+B79)</f>
        <v>1056287.2515608487</v>
      </c>
      <c r="D79" s="81">
        <f t="shared" si="14"/>
        <v>419465.41639453796</v>
      </c>
      <c r="E79" s="81">
        <f t="shared" si="4"/>
        <v>636821.8351663107</v>
      </c>
      <c r="F79" s="117">
        <f t="shared" si="13"/>
        <v>0.06000000000000004</v>
      </c>
      <c r="G79" s="118">
        <f t="shared" si="5"/>
        <v>0.005143012831822946</v>
      </c>
      <c r="H79" s="119">
        <f t="shared" si="9"/>
        <v>366550.4203912513</v>
      </c>
      <c r="I79" s="120">
        <f t="shared" si="10"/>
        <v>70904984.84064895</v>
      </c>
      <c r="J79" s="106">
        <f t="shared" si="11"/>
        <v>79042608.65794732</v>
      </c>
      <c r="K79" s="103">
        <f t="shared" si="15"/>
        <v>1161084.7921862407</v>
      </c>
      <c r="L79" s="80">
        <f t="shared" si="2"/>
        <v>461081.883838026</v>
      </c>
      <c r="M79" s="105">
        <f t="shared" si="12"/>
        <v>700002.9083482146</v>
      </c>
      <c r="N79" s="139">
        <f t="shared" si="6"/>
        <v>2.8333333333333335</v>
      </c>
      <c r="O79" s="227"/>
      <c r="P79" s="227"/>
      <c r="Q79" s="227"/>
      <c r="R79" s="230"/>
    </row>
    <row r="80" spans="1:18" ht="12.75">
      <c r="A80" s="180">
        <v>35</v>
      </c>
      <c r="B80" s="81">
        <f t="shared" si="7"/>
        <v>70904984.84064895</v>
      </c>
      <c r="C80" s="119">
        <f t="shared" si="16"/>
        <v>1050854.7526719808</v>
      </c>
      <c r="D80" s="81">
        <f t="shared" si="14"/>
        <v>413612.4115704522</v>
      </c>
      <c r="E80" s="81">
        <f t="shared" si="4"/>
        <v>637242.3411015286</v>
      </c>
      <c r="F80" s="117">
        <f t="shared" si="13"/>
        <v>0.06000000000000004</v>
      </c>
      <c r="G80" s="118">
        <f t="shared" si="5"/>
        <v>0.005143012831822946</v>
      </c>
      <c r="H80" s="119">
        <f t="shared" si="9"/>
        <v>361387.901338403</v>
      </c>
      <c r="I80" s="120">
        <f t="shared" si="10"/>
        <v>69906354.59820902</v>
      </c>
      <c r="J80" s="106">
        <f t="shared" si="11"/>
        <v>78342605.7495991</v>
      </c>
      <c r="K80" s="103">
        <f t="shared" si="15"/>
        <v>1161084.7921862407</v>
      </c>
      <c r="L80" s="80">
        <f t="shared" si="2"/>
        <v>456998.5335393281</v>
      </c>
      <c r="M80" s="105">
        <f t="shared" si="12"/>
        <v>704086.2586469126</v>
      </c>
      <c r="N80" s="139">
        <f t="shared" si="6"/>
        <v>2.9166666666666665</v>
      </c>
      <c r="O80" s="227"/>
      <c r="P80" s="227"/>
      <c r="Q80" s="227"/>
      <c r="R80" s="230"/>
    </row>
    <row r="81" spans="1:18" ht="13.5" thickBot="1">
      <c r="A81" s="180">
        <v>36</v>
      </c>
      <c r="B81" s="81">
        <f t="shared" si="7"/>
        <v>69906354.59820902</v>
      </c>
      <c r="C81" s="119">
        <f t="shared" si="16"/>
        <v>1045450.1931946065</v>
      </c>
      <c r="D81" s="81">
        <f t="shared" si="14"/>
        <v>407787.06848955265</v>
      </c>
      <c r="E81" s="81">
        <f t="shared" si="4"/>
        <v>637663.1247050539</v>
      </c>
      <c r="F81" s="117">
        <f t="shared" si="13"/>
        <v>0.06000000000000004</v>
      </c>
      <c r="G81" s="118">
        <f t="shared" si="5"/>
        <v>0.005143012831822946</v>
      </c>
      <c r="H81" s="119">
        <f t="shared" si="9"/>
        <v>356249.76909181563</v>
      </c>
      <c r="I81" s="120">
        <f t="shared" si="10"/>
        <v>68912441.70441216</v>
      </c>
      <c r="J81" s="106">
        <f t="shared" si="11"/>
        <v>77638519.4909522</v>
      </c>
      <c r="K81" s="103">
        <f t="shared" si="15"/>
        <v>1161084.7921862407</v>
      </c>
      <c r="L81" s="80">
        <f t="shared" si="2"/>
        <v>452891.36369722115</v>
      </c>
      <c r="M81" s="105">
        <f t="shared" si="12"/>
        <v>708193.4284890195</v>
      </c>
      <c r="N81" s="140">
        <f t="shared" si="6"/>
        <v>3</v>
      </c>
      <c r="O81" s="228"/>
      <c r="P81" s="228"/>
      <c r="Q81" s="228"/>
      <c r="R81" s="231"/>
    </row>
    <row r="82" spans="1:18" ht="12.75">
      <c r="A82" s="180">
        <v>37</v>
      </c>
      <c r="B82" s="81">
        <f t="shared" si="7"/>
        <v>68912441.70441216</v>
      </c>
      <c r="C82" s="119">
        <f t="shared" si="16"/>
        <v>1040073.4294359749</v>
      </c>
      <c r="D82" s="81">
        <f t="shared" si="14"/>
        <v>401989.2432757376</v>
      </c>
      <c r="E82" s="81">
        <f t="shared" si="4"/>
        <v>638084.1861602373</v>
      </c>
      <c r="F82" s="117">
        <f t="shared" si="13"/>
        <v>0.06000000000000004</v>
      </c>
      <c r="G82" s="118">
        <f t="shared" si="5"/>
        <v>0.005143012831822946</v>
      </c>
      <c r="H82" s="119">
        <f t="shared" si="9"/>
        <v>351135.8968008371</v>
      </c>
      <c r="I82" s="120">
        <f t="shared" si="10"/>
        <v>67923221.6214511</v>
      </c>
      <c r="J82" s="106">
        <f t="shared" si="11"/>
        <v>76930326.06246318</v>
      </c>
      <c r="K82" s="103">
        <f t="shared" si="15"/>
        <v>1161084.7921862407</v>
      </c>
      <c r="L82" s="80">
        <f t="shared" si="2"/>
        <v>448760.2353643686</v>
      </c>
      <c r="M82" s="105">
        <f t="shared" si="12"/>
        <v>712324.556821872</v>
      </c>
      <c r="N82" s="138">
        <f t="shared" si="6"/>
        <v>3.0833333333333335</v>
      </c>
      <c r="O82" s="226">
        <f>+SUM(D82:D93)</f>
        <v>4448942.7452019015</v>
      </c>
      <c r="P82" s="226">
        <f>+SUM(E82:E93)+SUM(H82:H93)</f>
        <v>11567808.439288566</v>
      </c>
      <c r="Q82" s="226">
        <f>+SUM(L82:L93)</f>
        <v>5105474.681914538</v>
      </c>
      <c r="R82" s="229">
        <f>+SUM(M82:M93)</f>
        <v>8827542.82432035</v>
      </c>
    </row>
    <row r="83" spans="1:18" ht="12.75">
      <c r="A83" s="180">
        <v>38</v>
      </c>
      <c r="B83" s="81">
        <f t="shared" si="7"/>
        <v>67923221.6214511</v>
      </c>
      <c r="C83" s="119">
        <f t="shared" si="16"/>
        <v>1034724.3184423477</v>
      </c>
      <c r="D83" s="81">
        <f t="shared" si="14"/>
        <v>396218.79279179807</v>
      </c>
      <c r="E83" s="81">
        <f t="shared" si="4"/>
        <v>638505.5256505497</v>
      </c>
      <c r="F83" s="117">
        <f t="shared" si="13"/>
        <v>0.06000000000000004</v>
      </c>
      <c r="G83" s="118">
        <f t="shared" si="5"/>
        <v>0.005143012831822946</v>
      </c>
      <c r="H83" s="119">
        <f t="shared" si="9"/>
        <v>346046.15826626617</v>
      </c>
      <c r="I83" s="120">
        <f t="shared" si="10"/>
        <v>66938669.93753429</v>
      </c>
      <c r="J83" s="106">
        <f t="shared" si="11"/>
        <v>76218001.50564131</v>
      </c>
      <c r="K83" s="103">
        <f t="shared" si="15"/>
        <v>1161084.7921862407</v>
      </c>
      <c r="L83" s="80">
        <f t="shared" si="2"/>
        <v>444605.0087829077</v>
      </c>
      <c r="M83" s="105">
        <f t="shared" si="12"/>
        <v>716479.783403333</v>
      </c>
      <c r="N83" s="139">
        <f t="shared" si="6"/>
        <v>3.1666666666666665</v>
      </c>
      <c r="O83" s="227"/>
      <c r="P83" s="227"/>
      <c r="Q83" s="227"/>
      <c r="R83" s="230"/>
    </row>
    <row r="84" spans="1:18" ht="12.75">
      <c r="A84" s="180">
        <v>39</v>
      </c>
      <c r="B84" s="81">
        <f t="shared" si="7"/>
        <v>66938669.93753429</v>
      </c>
      <c r="C84" s="119">
        <f t="shared" si="16"/>
        <v>1029402.7179951996</v>
      </c>
      <c r="D84" s="81">
        <f t="shared" si="14"/>
        <v>390475.5746356167</v>
      </c>
      <c r="E84" s="81">
        <f t="shared" si="4"/>
        <v>638927.1433595829</v>
      </c>
      <c r="F84" s="117">
        <f t="shared" si="13"/>
        <v>0.06000000000000004</v>
      </c>
      <c r="G84" s="118">
        <f t="shared" si="5"/>
        <v>0.005143012831822946</v>
      </c>
      <c r="H84" s="119">
        <f t="shared" si="9"/>
        <v>340980.4279370014</v>
      </c>
      <c r="I84" s="120">
        <f t="shared" si="10"/>
        <v>65958762.3662377</v>
      </c>
      <c r="J84" s="106">
        <f t="shared" si="11"/>
        <v>75501521.72223797</v>
      </c>
      <c r="K84" s="103">
        <f t="shared" si="15"/>
        <v>1161084.7921862407</v>
      </c>
      <c r="L84" s="80">
        <f t="shared" si="2"/>
        <v>440425.5433797215</v>
      </c>
      <c r="M84" s="105">
        <f t="shared" si="12"/>
        <v>720659.2488065192</v>
      </c>
      <c r="N84" s="139">
        <f t="shared" si="6"/>
        <v>3.25</v>
      </c>
      <c r="O84" s="227"/>
      <c r="P84" s="227"/>
      <c r="Q84" s="227"/>
      <c r="R84" s="230"/>
    </row>
    <row r="85" spans="1:18" ht="12.75">
      <c r="A85" s="180">
        <v>40</v>
      </c>
      <c r="B85" s="81">
        <f t="shared" si="7"/>
        <v>65958762.3662377</v>
      </c>
      <c r="C85" s="119">
        <f t="shared" si="16"/>
        <v>1024108.4866074369</v>
      </c>
      <c r="D85" s="81">
        <f t="shared" si="14"/>
        <v>384759.4471363866</v>
      </c>
      <c r="E85" s="81">
        <f t="shared" si="4"/>
        <v>639349.0394710503</v>
      </c>
      <c r="F85" s="117">
        <f t="shared" si="13"/>
        <v>0.06000000000000004</v>
      </c>
      <c r="G85" s="118">
        <f t="shared" si="5"/>
        <v>0.005143012831822946</v>
      </c>
      <c r="H85" s="119">
        <f t="shared" si="9"/>
        <v>335938.5809067076</v>
      </c>
      <c r="I85" s="120">
        <f t="shared" si="10"/>
        <v>64983474.74585994</v>
      </c>
      <c r="J85" s="106">
        <f t="shared" si="11"/>
        <v>74780862.47343145</v>
      </c>
      <c r="K85" s="103">
        <f t="shared" si="15"/>
        <v>1161084.7921862407</v>
      </c>
      <c r="L85" s="80">
        <f t="shared" si="2"/>
        <v>436221.6977616835</v>
      </c>
      <c r="M85" s="105">
        <f t="shared" si="12"/>
        <v>724863.0944245572</v>
      </c>
      <c r="N85" s="139">
        <f t="shared" si="6"/>
        <v>3.3333333333333335</v>
      </c>
      <c r="O85" s="227"/>
      <c r="P85" s="227"/>
      <c r="Q85" s="227"/>
      <c r="R85" s="230"/>
    </row>
    <row r="86" spans="1:18" ht="12.75">
      <c r="A86" s="180">
        <v>41</v>
      </c>
      <c r="B86" s="81">
        <f t="shared" si="7"/>
        <v>64983474.74585994</v>
      </c>
      <c r="C86" s="119">
        <f t="shared" si="16"/>
        <v>1018841.4835196362</v>
      </c>
      <c r="D86" s="81">
        <f t="shared" si="14"/>
        <v>379070.2693508497</v>
      </c>
      <c r="E86" s="81">
        <f t="shared" si="4"/>
        <v>639771.2141687865</v>
      </c>
      <c r="F86" s="117">
        <f t="shared" si="13"/>
        <v>0.06000000000000004</v>
      </c>
      <c r="G86" s="118">
        <f t="shared" si="5"/>
        <v>0.005143012831822946</v>
      </c>
      <c r="H86" s="119">
        <f t="shared" si="9"/>
        <v>330920.49291049904</v>
      </c>
      <c r="I86" s="120">
        <f t="shared" si="10"/>
        <v>64012783.03878066</v>
      </c>
      <c r="J86" s="121">
        <f t="shared" si="11"/>
        <v>74055999.37900689</v>
      </c>
      <c r="K86" s="119">
        <f t="shared" si="15"/>
        <v>1161084.7921862407</v>
      </c>
      <c r="L86" s="81">
        <f t="shared" si="2"/>
        <v>431993.32971087354</v>
      </c>
      <c r="M86" s="122">
        <f t="shared" si="12"/>
        <v>729091.4624753671</v>
      </c>
      <c r="N86" s="139">
        <f t="shared" si="6"/>
        <v>3.4166666666666665</v>
      </c>
      <c r="O86" s="227"/>
      <c r="P86" s="227"/>
      <c r="Q86" s="227"/>
      <c r="R86" s="230"/>
    </row>
    <row r="87" spans="1:18" ht="12.75">
      <c r="A87" s="180">
        <v>42</v>
      </c>
      <c r="B87" s="81">
        <f t="shared" si="7"/>
        <v>64012783.03878066</v>
      </c>
      <c r="C87" s="119">
        <f t="shared" si="16"/>
        <v>1013601.5686963012</v>
      </c>
      <c r="D87" s="81">
        <f t="shared" si="14"/>
        <v>373407.90105955384</v>
      </c>
      <c r="E87" s="81">
        <f t="shared" si="4"/>
        <v>640193.6676367474</v>
      </c>
      <c r="F87" s="117">
        <f t="shared" si="13"/>
        <v>0.06000000000000004</v>
      </c>
      <c r="G87" s="118">
        <f t="shared" si="5"/>
        <v>0.005143012831822946</v>
      </c>
      <c r="H87" s="119">
        <f t="shared" si="9"/>
        <v>325926.0403216396</v>
      </c>
      <c r="I87" s="120">
        <f t="shared" si="10"/>
        <v>63046663.330822274</v>
      </c>
      <c r="J87" s="121">
        <f t="shared" si="11"/>
        <v>73326907.91653152</v>
      </c>
      <c r="K87" s="119">
        <f t="shared" si="15"/>
        <v>1161084.7921862407</v>
      </c>
      <c r="L87" s="81">
        <f t="shared" si="2"/>
        <v>427740.29617976723</v>
      </c>
      <c r="M87" s="122">
        <f t="shared" si="12"/>
        <v>733344.4960064734</v>
      </c>
      <c r="N87" s="139">
        <f t="shared" si="6"/>
        <v>3.5</v>
      </c>
      <c r="O87" s="227"/>
      <c r="P87" s="227"/>
      <c r="Q87" s="227"/>
      <c r="R87" s="230"/>
    </row>
    <row r="88" spans="1:18" ht="12.75">
      <c r="A88" s="180">
        <v>43</v>
      </c>
      <c r="B88" s="81">
        <f t="shared" si="7"/>
        <v>63046663.330822274</v>
      </c>
      <c r="C88" s="119">
        <f t="shared" si="16"/>
        <v>1008388.6028221402</v>
      </c>
      <c r="D88" s="81">
        <f t="shared" si="14"/>
        <v>367772.20276312996</v>
      </c>
      <c r="E88" s="81">
        <f t="shared" si="4"/>
        <v>640616.4000590103</v>
      </c>
      <c r="F88" s="117">
        <f t="shared" si="13"/>
        <v>0.06000000000000004</v>
      </c>
      <c r="G88" s="118">
        <f t="shared" si="5"/>
        <v>0.005143012831822946</v>
      </c>
      <c r="H88" s="119">
        <f t="shared" si="9"/>
        <v>320955.1001482605</v>
      </c>
      <c r="I88" s="120">
        <f t="shared" si="10"/>
        <v>62085091.83061501</v>
      </c>
      <c r="J88" s="121">
        <f t="shared" si="11"/>
        <v>72593563.42052504</v>
      </c>
      <c r="K88" s="119">
        <f t="shared" si="15"/>
        <v>1161084.7921862407</v>
      </c>
      <c r="L88" s="81">
        <f t="shared" si="2"/>
        <v>423462.4532863961</v>
      </c>
      <c r="M88" s="122">
        <f t="shared" si="12"/>
        <v>737622.3388998446</v>
      </c>
      <c r="N88" s="139">
        <f t="shared" si="6"/>
        <v>3.5833333333333335</v>
      </c>
      <c r="O88" s="227"/>
      <c r="P88" s="227"/>
      <c r="Q88" s="227"/>
      <c r="R88" s="230"/>
    </row>
    <row r="89" spans="1:18" ht="12.75">
      <c r="A89" s="180">
        <v>44</v>
      </c>
      <c r="B89" s="81">
        <f t="shared" si="7"/>
        <v>62085091.83061501</v>
      </c>
      <c r="C89" s="119">
        <f t="shared" si="16"/>
        <v>1003202.447298362</v>
      </c>
      <c r="D89" s="81">
        <f t="shared" si="14"/>
        <v>362163.03567858756</v>
      </c>
      <c r="E89" s="81">
        <f t="shared" si="4"/>
        <v>641039.4116197745</v>
      </c>
      <c r="F89" s="117">
        <f t="shared" si="13"/>
        <v>0.06000000000000004</v>
      </c>
      <c r="G89" s="118">
        <f t="shared" si="5"/>
        <v>0.005143012831822946</v>
      </c>
      <c r="H89" s="119">
        <f t="shared" si="9"/>
        <v>316007.5500300942</v>
      </c>
      <c r="I89" s="120">
        <f t="shared" si="10"/>
        <v>61128044.868965134</v>
      </c>
      <c r="J89" s="121">
        <f t="shared" si="11"/>
        <v>71855941.0816252</v>
      </c>
      <c r="K89" s="119">
        <f t="shared" si="15"/>
        <v>1161084.7921862407</v>
      </c>
      <c r="L89" s="81">
        <f t="shared" si="2"/>
        <v>419159.6563094803</v>
      </c>
      <c r="M89" s="122">
        <f t="shared" si="12"/>
        <v>741925.1358767604</v>
      </c>
      <c r="N89" s="139">
        <f t="shared" si="6"/>
        <v>3.6666666666666665</v>
      </c>
      <c r="O89" s="227"/>
      <c r="P89" s="227"/>
      <c r="Q89" s="227"/>
      <c r="R89" s="230"/>
    </row>
    <row r="90" spans="1:18" ht="12.75">
      <c r="A90" s="180">
        <v>45</v>
      </c>
      <c r="B90" s="81">
        <f t="shared" si="7"/>
        <v>61128044.868965134</v>
      </c>
      <c r="C90" s="119">
        <f t="shared" si="16"/>
        <v>998042.9642389903</v>
      </c>
      <c r="D90" s="81">
        <f t="shared" si="14"/>
        <v>356580.26173563</v>
      </c>
      <c r="E90" s="81">
        <f t="shared" si="4"/>
        <v>641462.7025033603</v>
      </c>
      <c r="F90" s="117">
        <f t="shared" si="13"/>
        <v>0.06000000000000004</v>
      </c>
      <c r="G90" s="118">
        <f t="shared" si="5"/>
        <v>0.005143012831822946</v>
      </c>
      <c r="H90" s="119">
        <f t="shared" si="9"/>
        <v>311083.26823522587</v>
      </c>
      <c r="I90" s="120">
        <f t="shared" si="10"/>
        <v>60175498.898226544</v>
      </c>
      <c r="J90" s="121">
        <f t="shared" si="11"/>
        <v>71114015.94574843</v>
      </c>
      <c r="K90" s="119">
        <f t="shared" si="15"/>
        <v>1161084.7921862407</v>
      </c>
      <c r="L90" s="81">
        <f t="shared" si="2"/>
        <v>414831.7596835325</v>
      </c>
      <c r="M90" s="122">
        <f t="shared" si="12"/>
        <v>746253.0325027081</v>
      </c>
      <c r="N90" s="139">
        <f t="shared" si="6"/>
        <v>3.75</v>
      </c>
      <c r="O90" s="227"/>
      <c r="P90" s="227"/>
      <c r="Q90" s="227"/>
      <c r="R90" s="230"/>
    </row>
    <row r="91" spans="1:18" ht="12.75">
      <c r="A91" s="180">
        <v>46</v>
      </c>
      <c r="B91" s="81">
        <f t="shared" si="7"/>
        <v>60175498.898226544</v>
      </c>
      <c r="C91" s="119">
        <f t="shared" si="16"/>
        <v>992910.0164671985</v>
      </c>
      <c r="D91" s="81">
        <f t="shared" si="14"/>
        <v>351023.7435729882</v>
      </c>
      <c r="E91" s="81">
        <f t="shared" si="4"/>
        <v>641886.2728942103</v>
      </c>
      <c r="F91" s="117">
        <f t="shared" si="13"/>
        <v>0.06000000000000004</v>
      </c>
      <c r="G91" s="118">
        <f t="shared" si="5"/>
        <v>0.005143012831822946</v>
      </c>
      <c r="H91" s="119">
        <f t="shared" si="9"/>
        <v>306182.13365686074</v>
      </c>
      <c r="I91" s="120">
        <f t="shared" si="10"/>
        <v>59227430.491675474</v>
      </c>
      <c r="J91" s="121">
        <f t="shared" si="11"/>
        <v>70367762.91324572</v>
      </c>
      <c r="K91" s="119">
        <f t="shared" si="15"/>
        <v>1161084.7921862407</v>
      </c>
      <c r="L91" s="81">
        <f t="shared" si="2"/>
        <v>410478.6169939334</v>
      </c>
      <c r="M91" s="122">
        <f t="shared" si="12"/>
        <v>750606.1751923072</v>
      </c>
      <c r="N91" s="139">
        <f t="shared" si="6"/>
        <v>3.8333333333333335</v>
      </c>
      <c r="O91" s="227"/>
      <c r="P91" s="227"/>
      <c r="Q91" s="227"/>
      <c r="R91" s="230"/>
    </row>
    <row r="92" spans="1:18" ht="12.75">
      <c r="A92" s="180">
        <v>47</v>
      </c>
      <c r="B92" s="81">
        <f t="shared" si="7"/>
        <v>59227430.491675474</v>
      </c>
      <c r="C92" s="119">
        <f t="shared" si="16"/>
        <v>987803.4675116622</v>
      </c>
      <c r="D92" s="81">
        <f t="shared" si="14"/>
        <v>345493.3445347736</v>
      </c>
      <c r="E92" s="81">
        <f t="shared" si="4"/>
        <v>642310.1229768886</v>
      </c>
      <c r="F92" s="117">
        <f t="shared" si="13"/>
        <v>0.06000000000000004</v>
      </c>
      <c r="G92" s="118">
        <f t="shared" si="5"/>
        <v>0.005143012831822946</v>
      </c>
      <c r="H92" s="119">
        <f t="shared" si="9"/>
        <v>301304.02581010864</v>
      </c>
      <c r="I92" s="120">
        <f t="shared" si="10"/>
        <v>58283816.342888474</v>
      </c>
      <c r="J92" s="121">
        <f t="shared" si="11"/>
        <v>69617156.73805341</v>
      </c>
      <c r="K92" s="119">
        <f t="shared" si="15"/>
        <v>1161084.7921862407</v>
      </c>
      <c r="L92" s="81">
        <f t="shared" si="2"/>
        <v>406100.08097197826</v>
      </c>
      <c r="M92" s="122">
        <f t="shared" si="12"/>
        <v>754984.7112142624</v>
      </c>
      <c r="N92" s="139">
        <f t="shared" si="6"/>
        <v>3.9166666666666665</v>
      </c>
      <c r="O92" s="227"/>
      <c r="P92" s="227"/>
      <c r="Q92" s="227"/>
      <c r="R92" s="230"/>
    </row>
    <row r="93" spans="1:18" ht="13.5" thickBot="1">
      <c r="A93" s="180">
        <v>48</v>
      </c>
      <c r="B93" s="81">
        <f t="shared" si="7"/>
        <v>58283816.342888474</v>
      </c>
      <c r="C93" s="119">
        <f t="shared" si="16"/>
        <v>982723.1816029304</v>
      </c>
      <c r="D93" s="81">
        <f t="shared" si="14"/>
        <v>339988.92866684945</v>
      </c>
      <c r="E93" s="81">
        <f t="shared" si="4"/>
        <v>642734.252936081</v>
      </c>
      <c r="F93" s="117">
        <f t="shared" si="13"/>
        <v>0.06000000000000004</v>
      </c>
      <c r="G93" s="118">
        <f t="shared" si="5"/>
        <v>0.005143012831822946</v>
      </c>
      <c r="H93" s="119">
        <f t="shared" si="9"/>
        <v>296448.824828785</v>
      </c>
      <c r="I93" s="120">
        <f t="shared" si="10"/>
        <v>57344633.265123606</v>
      </c>
      <c r="J93" s="121">
        <f t="shared" si="11"/>
        <v>68862172.02683915</v>
      </c>
      <c r="K93" s="119">
        <f t="shared" si="15"/>
        <v>1161084.7921862407</v>
      </c>
      <c r="L93" s="81">
        <f t="shared" si="2"/>
        <v>401696.0034898951</v>
      </c>
      <c r="M93" s="122">
        <f t="shared" si="12"/>
        <v>759388.7886963456</v>
      </c>
      <c r="N93" s="140">
        <f t="shared" si="6"/>
        <v>4</v>
      </c>
      <c r="O93" s="228"/>
      <c r="P93" s="228"/>
      <c r="Q93" s="228"/>
      <c r="R93" s="231"/>
    </row>
    <row r="94" spans="1:18" ht="12.75">
      <c r="A94" s="180">
        <v>49</v>
      </c>
      <c r="B94" s="81">
        <f t="shared" si="7"/>
        <v>57344633.265123606</v>
      </c>
      <c r="C94" s="119">
        <f t="shared" si="16"/>
        <v>977669.0236698167</v>
      </c>
      <c r="D94" s="81">
        <f t="shared" si="14"/>
        <v>334510.3607132211</v>
      </c>
      <c r="E94" s="81">
        <f t="shared" si="4"/>
        <v>643158.6629565957</v>
      </c>
      <c r="F94" s="117">
        <f t="shared" si="13"/>
        <v>0.06000000000000004</v>
      </c>
      <c r="G94" s="118">
        <f t="shared" si="5"/>
        <v>0.005143012831822946</v>
      </c>
      <c r="H94" s="119">
        <f t="shared" si="9"/>
        <v>291616.4114622278</v>
      </c>
      <c r="I94" s="120">
        <f t="shared" si="10"/>
        <v>56409858.190704785</v>
      </c>
      <c r="J94" s="121">
        <f t="shared" si="11"/>
        <v>68102783.2381428</v>
      </c>
      <c r="K94" s="119">
        <f t="shared" si="15"/>
        <v>1161084.7921862407</v>
      </c>
      <c r="L94" s="81">
        <f t="shared" si="2"/>
        <v>397266.23555583303</v>
      </c>
      <c r="M94" s="122">
        <f t="shared" si="12"/>
        <v>763818.5566304077</v>
      </c>
      <c r="N94" s="138">
        <f t="shared" si="6"/>
        <v>4.083333333333333</v>
      </c>
      <c r="O94" s="226">
        <f>+SUM(D94:D105)</f>
        <v>3659798.023829013</v>
      </c>
      <c r="P94" s="226">
        <f>+SUM(E94:E105)+SUM(H94:H105)</f>
        <v>10932852.666240469</v>
      </c>
      <c r="Q94" s="226">
        <f>+SUM(L94:L105)</f>
        <v>4467330.897382537</v>
      </c>
      <c r="R94" s="229">
        <f>+SUM(M94:M105)</f>
        <v>9465686.608852353</v>
      </c>
    </row>
    <row r="95" spans="1:18" ht="12.75">
      <c r="A95" s="180">
        <v>50</v>
      </c>
      <c r="B95" s="81">
        <f t="shared" si="7"/>
        <v>56409858.190704785</v>
      </c>
      <c r="C95" s="119">
        <f t="shared" si="16"/>
        <v>972640.859335807</v>
      </c>
      <c r="D95" s="81">
        <f t="shared" si="14"/>
        <v>329057.5061124446</v>
      </c>
      <c r="E95" s="81">
        <f t="shared" si="4"/>
        <v>643583.3532233625</v>
      </c>
      <c r="F95" s="117">
        <f t="shared" si="13"/>
        <v>0.06000000000000004</v>
      </c>
      <c r="G95" s="118">
        <f t="shared" si="5"/>
        <v>0.005143012831822946</v>
      </c>
      <c r="H95" s="119">
        <f t="shared" si="9"/>
        <v>286806.66707213206</v>
      </c>
      <c r="I95" s="120">
        <f t="shared" si="10"/>
        <v>55479468.17040929</v>
      </c>
      <c r="J95" s="121">
        <f t="shared" si="11"/>
        <v>67338964.6815124</v>
      </c>
      <c r="K95" s="119">
        <f t="shared" si="15"/>
        <v>1161084.7921862407</v>
      </c>
      <c r="L95" s="81">
        <f t="shared" si="2"/>
        <v>392810.62730882235</v>
      </c>
      <c r="M95" s="122">
        <f t="shared" si="12"/>
        <v>768274.1648774183</v>
      </c>
      <c r="N95" s="139">
        <f t="shared" si="6"/>
        <v>4.166666666666667</v>
      </c>
      <c r="O95" s="227"/>
      <c r="P95" s="227"/>
      <c r="Q95" s="227"/>
      <c r="R95" s="230"/>
    </row>
    <row r="96" spans="1:18" ht="12.75">
      <c r="A96" s="180">
        <v>51</v>
      </c>
      <c r="B96" s="81">
        <f t="shared" si="7"/>
        <v>55479468.17040929</v>
      </c>
      <c r="C96" s="119">
        <f t="shared" si="16"/>
        <v>967638.5549154876</v>
      </c>
      <c r="D96" s="81">
        <f t="shared" si="14"/>
        <v>323630.23099405423</v>
      </c>
      <c r="E96" s="81">
        <f t="shared" si="4"/>
        <v>644008.3239214334</v>
      </c>
      <c r="F96" s="117">
        <f t="shared" si="13"/>
        <v>0.06000000000000004</v>
      </c>
      <c r="G96" s="118">
        <f t="shared" si="5"/>
        <v>0.005143012831822946</v>
      </c>
      <c r="H96" s="119">
        <f t="shared" si="9"/>
        <v>282019.47362939897</v>
      </c>
      <c r="I96" s="120">
        <f t="shared" si="10"/>
        <v>54553440.37285846</v>
      </c>
      <c r="J96" s="121">
        <f t="shared" si="11"/>
        <v>66570690.516634986</v>
      </c>
      <c r="K96" s="119">
        <f t="shared" si="15"/>
        <v>1161084.7921862407</v>
      </c>
      <c r="L96" s="81">
        <f t="shared" si="2"/>
        <v>388329.0280137041</v>
      </c>
      <c r="M96" s="122">
        <f t="shared" si="12"/>
        <v>772755.7641725366</v>
      </c>
      <c r="N96" s="139">
        <f t="shared" si="6"/>
        <v>4.25</v>
      </c>
      <c r="O96" s="227"/>
      <c r="P96" s="227"/>
      <c r="Q96" s="227"/>
      <c r="R96" s="230"/>
    </row>
    <row r="97" spans="1:18" ht="12.75">
      <c r="A97" s="180">
        <v>52</v>
      </c>
      <c r="B97" s="81">
        <f t="shared" si="7"/>
        <v>54553440.37285846</v>
      </c>
      <c r="C97" s="119">
        <f t="shared" si="16"/>
        <v>962661.9774109906</v>
      </c>
      <c r="D97" s="81">
        <f t="shared" si="14"/>
        <v>318228.4021750077</v>
      </c>
      <c r="E97" s="81">
        <f t="shared" si="4"/>
        <v>644433.5752359829</v>
      </c>
      <c r="F97" s="117">
        <f t="shared" si="13"/>
        <v>0.06000000000000004</v>
      </c>
      <c r="G97" s="118">
        <f t="shared" si="5"/>
        <v>0.005143012831822946</v>
      </c>
      <c r="H97" s="119">
        <f t="shared" si="9"/>
        <v>277254.7137110028</v>
      </c>
      <c r="I97" s="120">
        <f t="shared" si="10"/>
        <v>53631752.08391147</v>
      </c>
      <c r="J97" s="121">
        <f t="shared" si="11"/>
        <v>65797934.75246245</v>
      </c>
      <c r="K97" s="119">
        <f t="shared" si="15"/>
        <v>1161084.7921862407</v>
      </c>
      <c r="L97" s="81">
        <f t="shared" si="2"/>
        <v>383821.28605603095</v>
      </c>
      <c r="M97" s="122">
        <f t="shared" si="12"/>
        <v>777263.5061302097</v>
      </c>
      <c r="N97" s="139">
        <f t="shared" si="6"/>
        <v>4.333333333333333</v>
      </c>
      <c r="O97" s="227"/>
      <c r="P97" s="227"/>
      <c r="Q97" s="227"/>
      <c r="R97" s="230"/>
    </row>
    <row r="98" spans="1:18" ht="12.75">
      <c r="A98" s="180">
        <v>53</v>
      </c>
      <c r="B98" s="81">
        <f t="shared" si="7"/>
        <v>53631752.08391147</v>
      </c>
      <c r="C98" s="119">
        <f t="shared" si="16"/>
        <v>957710.994508458</v>
      </c>
      <c r="D98" s="81">
        <f t="shared" si="14"/>
        <v>312851.88715615025</v>
      </c>
      <c r="E98" s="81">
        <f t="shared" si="4"/>
        <v>644859.1073523078</v>
      </c>
      <c r="F98" s="117">
        <f t="shared" si="13"/>
        <v>0.06000000000000004</v>
      </c>
      <c r="G98" s="118">
        <f t="shared" si="5"/>
        <v>0.005143012831822946</v>
      </c>
      <c r="H98" s="119">
        <f t="shared" si="9"/>
        <v>272512.2704968729</v>
      </c>
      <c r="I98" s="120">
        <f t="shared" si="10"/>
        <v>52714380.70606229</v>
      </c>
      <c r="J98" s="121">
        <f t="shared" si="11"/>
        <v>65020671.246332236</v>
      </c>
      <c r="K98" s="119">
        <f t="shared" si="15"/>
        <v>1161084.7921862407</v>
      </c>
      <c r="L98" s="81">
        <f t="shared" si="2"/>
        <v>379287.24893693806</v>
      </c>
      <c r="M98" s="122">
        <f t="shared" si="12"/>
        <v>781797.5432493025</v>
      </c>
      <c r="N98" s="139">
        <f t="shared" si="6"/>
        <v>4.416666666666667</v>
      </c>
      <c r="O98" s="227"/>
      <c r="P98" s="227"/>
      <c r="Q98" s="227"/>
      <c r="R98" s="230"/>
    </row>
    <row r="99" spans="1:18" ht="12.75">
      <c r="A99" s="180">
        <v>54</v>
      </c>
      <c r="B99" s="81">
        <f t="shared" si="7"/>
        <v>52714380.70606229</v>
      </c>
      <c r="C99" s="119">
        <f t="shared" si="16"/>
        <v>952785.474574523</v>
      </c>
      <c r="D99" s="81">
        <f t="shared" si="14"/>
        <v>307500.5541186967</v>
      </c>
      <c r="E99" s="81">
        <f t="shared" si="4"/>
        <v>645284.9204558263</v>
      </c>
      <c r="F99" s="117">
        <f t="shared" si="13"/>
        <v>0.06000000000000004</v>
      </c>
      <c r="G99" s="118">
        <f t="shared" si="5"/>
        <v>0.005143012831822946</v>
      </c>
      <c r="H99" s="119">
        <f t="shared" si="9"/>
        <v>267792.0277667921</v>
      </c>
      <c r="I99" s="120">
        <f t="shared" si="10"/>
        <v>51801303.757839665</v>
      </c>
      <c r="J99" s="121">
        <f t="shared" si="11"/>
        <v>64238873.703082934</v>
      </c>
      <c r="K99" s="119">
        <f t="shared" si="15"/>
        <v>1161084.7921862407</v>
      </c>
      <c r="L99" s="81">
        <f t="shared" si="2"/>
        <v>374726.7632679838</v>
      </c>
      <c r="M99" s="122">
        <f t="shared" si="12"/>
        <v>786358.0289182569</v>
      </c>
      <c r="N99" s="139">
        <f t="shared" si="6"/>
        <v>4.5</v>
      </c>
      <c r="O99" s="227"/>
      <c r="P99" s="227"/>
      <c r="Q99" s="227"/>
      <c r="R99" s="230"/>
    </row>
    <row r="100" spans="1:18" ht="12.75">
      <c r="A100" s="180">
        <v>55</v>
      </c>
      <c r="B100" s="81">
        <f t="shared" si="7"/>
        <v>51801303.757839665</v>
      </c>
      <c r="C100" s="119">
        <f t="shared" si="16"/>
        <v>947885.2866528116</v>
      </c>
      <c r="D100" s="81">
        <f t="shared" si="14"/>
        <v>302174.2719207314</v>
      </c>
      <c r="E100" s="81">
        <f t="shared" si="4"/>
        <v>645711.0147320802</v>
      </c>
      <c r="F100" s="117">
        <f t="shared" si="13"/>
        <v>0.06000000000000004</v>
      </c>
      <c r="G100" s="118">
        <f t="shared" si="5"/>
        <v>0.005143012831822946</v>
      </c>
      <c r="H100" s="119">
        <f t="shared" si="9"/>
        <v>263093.8698973111</v>
      </c>
      <c r="I100" s="120">
        <f t="shared" si="10"/>
        <v>50892498.87321027</v>
      </c>
      <c r="J100" s="121">
        <f t="shared" si="11"/>
        <v>63452515.674164675</v>
      </c>
      <c r="K100" s="119">
        <f t="shared" si="15"/>
        <v>1161084.7921862407</v>
      </c>
      <c r="L100" s="81">
        <f t="shared" si="2"/>
        <v>370139.6747659606</v>
      </c>
      <c r="M100" s="122">
        <f t="shared" si="12"/>
        <v>790945.1174202801</v>
      </c>
      <c r="N100" s="139">
        <f t="shared" si="6"/>
        <v>4.583333333333333</v>
      </c>
      <c r="O100" s="227"/>
      <c r="P100" s="227"/>
      <c r="Q100" s="227"/>
      <c r="R100" s="230"/>
    </row>
    <row r="101" spans="1:18" ht="12.75">
      <c r="A101" s="180">
        <v>56</v>
      </c>
      <c r="B101" s="81">
        <f t="shared" si="7"/>
        <v>50892498.87321027</v>
      </c>
      <c r="C101" s="119">
        <f t="shared" si="16"/>
        <v>943010.3004604601</v>
      </c>
      <c r="D101" s="81">
        <f t="shared" si="14"/>
        <v>296872.9100937266</v>
      </c>
      <c r="E101" s="81">
        <f t="shared" si="4"/>
        <v>646137.3903667335</v>
      </c>
      <c r="F101" s="117">
        <f t="shared" si="13"/>
        <v>0.06000000000000004</v>
      </c>
      <c r="G101" s="118">
        <f t="shared" si="5"/>
        <v>0.005143012831822946</v>
      </c>
      <c r="H101" s="119">
        <f t="shared" si="9"/>
        <v>258417.68185867858</v>
      </c>
      <c r="I101" s="120">
        <f t="shared" si="10"/>
        <v>49987943.80098486</v>
      </c>
      <c r="J101" s="121">
        <f t="shared" si="11"/>
        <v>62661570.5567444</v>
      </c>
      <c r="K101" s="119">
        <f t="shared" si="15"/>
        <v>1161084.7921862407</v>
      </c>
      <c r="L101" s="81">
        <f t="shared" si="2"/>
        <v>365525.8282476757</v>
      </c>
      <c r="M101" s="122">
        <f t="shared" si="12"/>
        <v>795558.963938565</v>
      </c>
      <c r="N101" s="139">
        <f t="shared" si="6"/>
        <v>4.666666666666667</v>
      </c>
      <c r="O101" s="227"/>
      <c r="P101" s="227"/>
      <c r="Q101" s="227"/>
      <c r="R101" s="230"/>
    </row>
    <row r="102" spans="1:18" ht="12.75">
      <c r="A102" s="180">
        <v>57</v>
      </c>
      <c r="B102" s="81">
        <f t="shared" si="7"/>
        <v>49987943.80098486</v>
      </c>
      <c r="C102" s="119">
        <f t="shared" si="16"/>
        <v>938160.3863846506</v>
      </c>
      <c r="D102" s="81">
        <f t="shared" si="14"/>
        <v>291596.3388390784</v>
      </c>
      <c r="E102" s="81">
        <f t="shared" si="4"/>
        <v>646564.0475455723</v>
      </c>
      <c r="F102" s="117">
        <f t="shared" si="13"/>
        <v>0.06000000000000004</v>
      </c>
      <c r="G102" s="118">
        <f t="shared" si="5"/>
        <v>0.005143012831822946</v>
      </c>
      <c r="H102" s="119">
        <f t="shared" si="9"/>
        <v>253763.34921178716</v>
      </c>
      <c r="I102" s="120">
        <f t="shared" si="10"/>
        <v>49087616.404227495</v>
      </c>
      <c r="J102" s="121">
        <f t="shared" si="11"/>
        <v>61866011.59280583</v>
      </c>
      <c r="K102" s="119">
        <f t="shared" si="15"/>
        <v>1161084.7921862407</v>
      </c>
      <c r="L102" s="81">
        <f t="shared" si="2"/>
        <v>360885.0676247007</v>
      </c>
      <c r="M102" s="122">
        <f t="shared" si="12"/>
        <v>800199.72456154</v>
      </c>
      <c r="N102" s="139">
        <f t="shared" si="6"/>
        <v>4.75</v>
      </c>
      <c r="O102" s="227"/>
      <c r="P102" s="227"/>
      <c r="Q102" s="227"/>
      <c r="R102" s="230"/>
    </row>
    <row r="103" spans="1:18" ht="12.75">
      <c r="A103" s="180">
        <v>58</v>
      </c>
      <c r="B103" s="81">
        <f t="shared" si="7"/>
        <v>49087616.404227495</v>
      </c>
      <c r="C103" s="119">
        <f t="shared" si="16"/>
        <v>933335.4154791661</v>
      </c>
      <c r="D103" s="81">
        <f t="shared" si="14"/>
        <v>286344.4290246604</v>
      </c>
      <c r="E103" s="81">
        <f t="shared" si="4"/>
        <v>646990.9864545057</v>
      </c>
      <c r="F103" s="117">
        <f t="shared" si="13"/>
        <v>0.06000000000000004</v>
      </c>
      <c r="G103" s="118">
        <f t="shared" si="5"/>
        <v>0.005143012831822946</v>
      </c>
      <c r="H103" s="119">
        <f t="shared" si="9"/>
        <v>249130.75810513523</v>
      </c>
      <c r="I103" s="120">
        <f t="shared" si="10"/>
        <v>48191494.65966785</v>
      </c>
      <c r="J103" s="121">
        <f t="shared" si="11"/>
        <v>61065811.86824429</v>
      </c>
      <c r="K103" s="119">
        <f t="shared" si="15"/>
        <v>1161084.7921862407</v>
      </c>
      <c r="L103" s="81">
        <f t="shared" si="2"/>
        <v>356217.2358980917</v>
      </c>
      <c r="M103" s="122">
        <f t="shared" si="12"/>
        <v>804867.556288149</v>
      </c>
      <c r="N103" s="139">
        <f t="shared" si="6"/>
        <v>4.833333333333333</v>
      </c>
      <c r="O103" s="227"/>
      <c r="P103" s="227"/>
      <c r="Q103" s="227"/>
      <c r="R103" s="230"/>
    </row>
    <row r="104" spans="1:18" ht="12.75">
      <c r="A104" s="180">
        <v>59</v>
      </c>
      <c r="B104" s="81">
        <f t="shared" si="7"/>
        <v>48191494.65966785</v>
      </c>
      <c r="C104" s="119">
        <f t="shared" si="16"/>
        <v>928535.259460962</v>
      </c>
      <c r="D104" s="81">
        <f t="shared" si="14"/>
        <v>281117.0521813958</v>
      </c>
      <c r="E104" s="81">
        <f t="shared" si="4"/>
        <v>647418.2072795662</v>
      </c>
      <c r="F104" s="117">
        <f t="shared" si="13"/>
        <v>0.06000000000000004</v>
      </c>
      <c r="G104" s="118">
        <f t="shared" si="5"/>
        <v>0.005143012831822946</v>
      </c>
      <c r="H104" s="119">
        <f t="shared" si="9"/>
        <v>244519.79527180415</v>
      </c>
      <c r="I104" s="120">
        <f t="shared" si="10"/>
        <v>47299556.65711648</v>
      </c>
      <c r="J104" s="121">
        <f t="shared" si="11"/>
        <v>60260944.311956145</v>
      </c>
      <c r="K104" s="119">
        <f t="shared" si="15"/>
        <v>1161084.7921862407</v>
      </c>
      <c r="L104" s="81">
        <f t="shared" si="2"/>
        <v>351522.1751530775</v>
      </c>
      <c r="M104" s="122">
        <f t="shared" si="12"/>
        <v>809562.6170331631</v>
      </c>
      <c r="N104" s="139">
        <f t="shared" si="6"/>
        <v>4.916666666666667</v>
      </c>
      <c r="O104" s="227"/>
      <c r="P104" s="227"/>
      <c r="Q104" s="227"/>
      <c r="R104" s="230"/>
    </row>
    <row r="105" spans="1:18" s="179" customFormat="1" ht="13.5" thickBot="1">
      <c r="A105" s="181">
        <v>60</v>
      </c>
      <c r="B105" s="147">
        <f t="shared" si="7"/>
        <v>47299556.65711648</v>
      </c>
      <c r="C105" s="119">
        <f t="shared" si="16"/>
        <v>923759.7907067542</v>
      </c>
      <c r="D105" s="81">
        <f t="shared" si="14"/>
        <v>275914.08049984614</v>
      </c>
      <c r="E105" s="81">
        <f t="shared" si="4"/>
        <v>647845.710206908</v>
      </c>
      <c r="F105" s="149">
        <f t="shared" si="13"/>
        <v>0.06000000000000004</v>
      </c>
      <c r="G105" s="150">
        <f t="shared" si="5"/>
        <v>0.005143012831822946</v>
      </c>
      <c r="H105" s="148">
        <f t="shared" si="9"/>
        <v>239930.34802645093</v>
      </c>
      <c r="I105" s="151">
        <f t="shared" si="10"/>
        <v>46411780.598883115</v>
      </c>
      <c r="J105" s="176">
        <f t="shared" si="11"/>
        <v>59451381.69492298</v>
      </c>
      <c r="K105" s="148">
        <f t="shared" si="15"/>
        <v>1161084.7921862407</v>
      </c>
      <c r="L105" s="147">
        <f t="shared" si="2"/>
        <v>346799.7265537174</v>
      </c>
      <c r="M105" s="177">
        <f t="shared" si="12"/>
        <v>814285.0656325233</v>
      </c>
      <c r="N105" s="178">
        <f t="shared" si="6"/>
        <v>5</v>
      </c>
      <c r="O105" s="228"/>
      <c r="P105" s="228"/>
      <c r="Q105" s="228"/>
      <c r="R105" s="231"/>
    </row>
    <row r="106" spans="1:18" s="179" customFormat="1" ht="12.75">
      <c r="A106" s="181">
        <v>61</v>
      </c>
      <c r="B106" s="147">
        <f t="shared" si="7"/>
        <v>46411780.598883115</v>
      </c>
      <c r="C106" s="119">
        <f t="shared" si="16"/>
        <v>919008.8822496273</v>
      </c>
      <c r="D106" s="81">
        <f t="shared" si="14"/>
        <v>270735.38682681817</v>
      </c>
      <c r="E106" s="81">
        <f t="shared" si="4"/>
        <v>648273.4954228092</v>
      </c>
      <c r="F106" s="149">
        <f>+F105</f>
        <v>0.06000000000000004</v>
      </c>
      <c r="G106" s="150">
        <f t="shared" si="5"/>
        <v>0.005143012831822946</v>
      </c>
      <c r="H106" s="148">
        <f>+(B106-E106)*G106</f>
        <v>235362.3042623169</v>
      </c>
      <c r="I106" s="151">
        <f>+B106-H106-E106</f>
        <v>45528144.79919799</v>
      </c>
      <c r="J106" s="176">
        <f t="shared" si="11"/>
        <v>58637096.62929046</v>
      </c>
      <c r="K106" s="148">
        <f t="shared" si="15"/>
        <v>1161084.7921862407</v>
      </c>
      <c r="L106" s="147">
        <f t="shared" si="2"/>
        <v>342049.7303375277</v>
      </c>
      <c r="M106" s="177">
        <f t="shared" si="12"/>
        <v>819035.061848713</v>
      </c>
      <c r="N106" s="138">
        <f aca="true" t="shared" si="17" ref="N106:N165">+A106/12</f>
        <v>5.083333333333333</v>
      </c>
      <c r="O106" s="226">
        <f>+SUM(D106:D117)</f>
        <v>2913849.033461479</v>
      </c>
      <c r="P106" s="226">
        <f>+SUM(E106:E117)+SUM(H106:H117)</f>
        <v>10336464.343991024</v>
      </c>
      <c r="Q106" s="226">
        <f>+SUM(L106:L117)</f>
        <v>3783055.647068812</v>
      </c>
      <c r="R106" s="229">
        <f>+SUM(M106:M117)</f>
        <v>10149961.859166075</v>
      </c>
    </row>
    <row r="107" spans="1:18" ht="12.75">
      <c r="A107" s="181">
        <v>62</v>
      </c>
      <c r="B107" s="147">
        <f t="shared" si="7"/>
        <v>45528144.79919799</v>
      </c>
      <c r="C107" s="119">
        <f t="shared" si="16"/>
        <v>914282.4077756581</v>
      </c>
      <c r="D107" s="81">
        <f t="shared" si="14"/>
        <v>265580.84466198826</v>
      </c>
      <c r="E107" s="81">
        <f t="shared" si="4"/>
        <v>648701.5631136699</v>
      </c>
      <c r="F107" s="149">
        <f aca="true" t="shared" si="18" ref="F107:F165">+F106</f>
        <v>0.06000000000000004</v>
      </c>
      <c r="G107" s="150">
        <f t="shared" si="5"/>
        <v>0.005143012831822946</v>
      </c>
      <c r="H107" s="148">
        <f aca="true" t="shared" si="19" ref="H107:H165">+(B107-E107)*G107</f>
        <v>230815.5524482512</v>
      </c>
      <c r="I107" s="151">
        <f aca="true" t="shared" si="20" ref="I107:I165">+B107-H107-E107</f>
        <v>44648627.68363607</v>
      </c>
      <c r="J107" s="121">
        <f t="shared" si="11"/>
        <v>57818061.56744175</v>
      </c>
      <c r="K107" s="119">
        <f t="shared" si="15"/>
        <v>1161084.7921862407</v>
      </c>
      <c r="L107" s="81">
        <f t="shared" si="2"/>
        <v>337272.02581007686</v>
      </c>
      <c r="M107" s="122">
        <f t="shared" si="12"/>
        <v>823812.7663761638</v>
      </c>
      <c r="N107" s="139">
        <f t="shared" si="17"/>
        <v>5.166666666666667</v>
      </c>
      <c r="O107" s="227"/>
      <c r="P107" s="227"/>
      <c r="Q107" s="227"/>
      <c r="R107" s="230"/>
    </row>
    <row r="108" spans="1:18" ht="12.75">
      <c r="A108" s="181">
        <v>63</v>
      </c>
      <c r="B108" s="147">
        <f t="shared" si="7"/>
        <v>44648627.68363607</v>
      </c>
      <c r="C108" s="119">
        <f t="shared" si="16"/>
        <v>909580.2416205578</v>
      </c>
      <c r="D108" s="81">
        <f t="shared" si="14"/>
        <v>260450.32815454376</v>
      </c>
      <c r="E108" s="81">
        <f t="shared" si="4"/>
        <v>649129.9134660141</v>
      </c>
      <c r="F108" s="149">
        <f t="shared" si="18"/>
        <v>0.06000000000000004</v>
      </c>
      <c r="G108" s="150">
        <f t="shared" si="5"/>
        <v>0.005143012831822946</v>
      </c>
      <c r="H108" s="148">
        <f t="shared" si="19"/>
        <v>226289.9816257497</v>
      </c>
      <c r="I108" s="151">
        <f t="shared" si="20"/>
        <v>43773207.788544305</v>
      </c>
      <c r="J108" s="121">
        <f t="shared" si="11"/>
        <v>56994248.80106558</v>
      </c>
      <c r="K108" s="119">
        <f t="shared" si="15"/>
        <v>1161084.7921862407</v>
      </c>
      <c r="L108" s="81">
        <f t="shared" si="2"/>
        <v>332466.4513395492</v>
      </c>
      <c r="M108" s="122">
        <f t="shared" si="12"/>
        <v>828618.3408466915</v>
      </c>
      <c r="N108" s="139">
        <f t="shared" si="17"/>
        <v>5.25</v>
      </c>
      <c r="O108" s="227"/>
      <c r="P108" s="227"/>
      <c r="Q108" s="227"/>
      <c r="R108" s="230"/>
    </row>
    <row r="109" spans="1:18" ht="12.75">
      <c r="A109" s="181">
        <v>64</v>
      </c>
      <c r="B109" s="147">
        <f t="shared" si="7"/>
        <v>43773207.788544305</v>
      </c>
      <c r="C109" s="119">
        <f t="shared" si="16"/>
        <v>904902.2587663309</v>
      </c>
      <c r="D109" s="81">
        <f t="shared" si="14"/>
        <v>255343.7120998418</v>
      </c>
      <c r="E109" s="81">
        <f t="shared" si="4"/>
        <v>649558.5466664891</v>
      </c>
      <c r="F109" s="149">
        <f t="shared" si="18"/>
        <v>0.06000000000000004</v>
      </c>
      <c r="G109" s="150">
        <f t="shared" si="5"/>
        <v>0.005143012831822946</v>
      </c>
      <c r="H109" s="148">
        <f t="shared" si="19"/>
        <v>221785.48140600946</v>
      </c>
      <c r="I109" s="151">
        <f t="shared" si="20"/>
        <v>42901863.760471806</v>
      </c>
      <c r="J109" s="121">
        <f t="shared" si="11"/>
        <v>56165630.460218884</v>
      </c>
      <c r="K109" s="119">
        <f t="shared" si="15"/>
        <v>1161084.7921862407</v>
      </c>
      <c r="L109" s="81">
        <f t="shared" si="2"/>
        <v>327632.8443512768</v>
      </c>
      <c r="M109" s="122">
        <f t="shared" si="12"/>
        <v>833451.9478349639</v>
      </c>
      <c r="N109" s="139">
        <f t="shared" si="17"/>
        <v>5.333333333333333</v>
      </c>
      <c r="O109" s="227"/>
      <c r="P109" s="227"/>
      <c r="Q109" s="227"/>
      <c r="R109" s="230"/>
    </row>
    <row r="110" spans="1:18" ht="12.75">
      <c r="A110" s="181">
        <v>65</v>
      </c>
      <c r="B110" s="147">
        <f t="shared" si="7"/>
        <v>42901863.760471806</v>
      </c>
      <c r="C110" s="119">
        <f t="shared" si="16"/>
        <v>900248.3348379498</v>
      </c>
      <c r="D110" s="81">
        <f aca="true" t="shared" si="21" ref="D110:D165">+B110*$C$39</f>
        <v>250260.87193608555</v>
      </c>
      <c r="E110" s="81">
        <f t="shared" si="4"/>
        <v>649987.4629018643</v>
      </c>
      <c r="F110" s="149">
        <f t="shared" si="18"/>
        <v>0.06000000000000004</v>
      </c>
      <c r="G110" s="150">
        <f t="shared" si="5"/>
        <v>0.005143012831822946</v>
      </c>
      <c r="H110" s="148">
        <f t="shared" si="19"/>
        <v>217301.94196699798</v>
      </c>
      <c r="I110" s="151">
        <f t="shared" si="20"/>
        <v>42034574.35560294</v>
      </c>
      <c r="J110" s="121">
        <f t="shared" si="11"/>
        <v>55332178.51238392</v>
      </c>
      <c r="K110" s="119">
        <f aca="true" t="shared" si="22" ref="K110:K141">+-PMT($C$39,120,+$J$46)</f>
        <v>1161084.7921862407</v>
      </c>
      <c r="L110" s="81">
        <f aca="true" t="shared" si="23" ref="L110:L165">+J110*$C$39</f>
        <v>322771.04132223956</v>
      </c>
      <c r="M110" s="122">
        <f t="shared" si="12"/>
        <v>838313.7508640011</v>
      </c>
      <c r="N110" s="139">
        <f t="shared" si="17"/>
        <v>5.416666666666667</v>
      </c>
      <c r="O110" s="227"/>
      <c r="P110" s="227"/>
      <c r="Q110" s="227"/>
      <c r="R110" s="230"/>
    </row>
    <row r="111" spans="1:18" ht="12.75">
      <c r="A111" s="181">
        <v>66</v>
      </c>
      <c r="B111" s="147">
        <f t="shared" si="7"/>
        <v>42034574.35560294</v>
      </c>
      <c r="C111" s="119">
        <f aca="true" t="shared" si="24" ref="C111:C165">+-PMT($C$39,120-A110,+B111)</f>
        <v>895618.3461000512</v>
      </c>
      <c r="D111" s="81">
        <f t="shared" si="21"/>
        <v>245201.6837410172</v>
      </c>
      <c r="E111" s="81">
        <f aca="true" t="shared" si="25" ref="E111:E165">+C111-D111</f>
        <v>650416.662359034</v>
      </c>
      <c r="F111" s="149">
        <f t="shared" si="18"/>
        <v>0.06000000000000004</v>
      </c>
      <c r="G111" s="150">
        <f aca="true" t="shared" si="26" ref="G111:G165">1-(1-F111)^(1/12)</f>
        <v>0.005143012831822946</v>
      </c>
      <c r="H111" s="148">
        <f t="shared" si="19"/>
        <v>212839.2540505377</v>
      </c>
      <c r="I111" s="151">
        <f t="shared" si="20"/>
        <v>41171318.43919337</v>
      </c>
      <c r="J111" s="121">
        <f t="shared" si="11"/>
        <v>54493864.761519924</v>
      </c>
      <c r="K111" s="119">
        <f t="shared" si="22"/>
        <v>1161084.7921862407</v>
      </c>
      <c r="L111" s="81">
        <f t="shared" si="23"/>
        <v>317880.8777755329</v>
      </c>
      <c r="M111" s="122">
        <f t="shared" si="12"/>
        <v>843203.9144107078</v>
      </c>
      <c r="N111" s="139">
        <f t="shared" si="17"/>
        <v>5.5</v>
      </c>
      <c r="O111" s="227"/>
      <c r="P111" s="227"/>
      <c r="Q111" s="227"/>
      <c r="R111" s="230"/>
    </row>
    <row r="112" spans="1:18" ht="12.75">
      <c r="A112" s="181">
        <v>67</v>
      </c>
      <c r="B112" s="147">
        <f aca="true" t="shared" si="27" ref="B112:B165">+I111</f>
        <v>41171318.43919337</v>
      </c>
      <c r="C112" s="119">
        <f t="shared" si="24"/>
        <v>891012.1694536426</v>
      </c>
      <c r="D112" s="81">
        <f t="shared" si="21"/>
        <v>240166.024228628</v>
      </c>
      <c r="E112" s="81">
        <f t="shared" si="25"/>
        <v>650846.1452250145</v>
      </c>
      <c r="F112" s="149">
        <f t="shared" si="18"/>
        <v>0.06000000000000004</v>
      </c>
      <c r="G112" s="150">
        <f t="shared" si="26"/>
        <v>0.005143012831822946</v>
      </c>
      <c r="H112" s="148">
        <f t="shared" si="19"/>
        <v>208397.3089594054</v>
      </c>
      <c r="I112" s="151">
        <f t="shared" si="20"/>
        <v>40312074.985008955</v>
      </c>
      <c r="J112" s="121">
        <f aca="true" t="shared" si="28" ref="J112:J165">+J111-M111</f>
        <v>53650660.84710921</v>
      </c>
      <c r="K112" s="119">
        <f t="shared" si="22"/>
        <v>1161084.7921862407</v>
      </c>
      <c r="L112" s="81">
        <f t="shared" si="23"/>
        <v>312962.18827480375</v>
      </c>
      <c r="M112" s="122">
        <f aca="true" t="shared" si="29" ref="M112:M165">+K112-L112</f>
        <v>848122.6039114369</v>
      </c>
      <c r="N112" s="139">
        <f t="shared" si="17"/>
        <v>5.583333333333333</v>
      </c>
      <c r="O112" s="227"/>
      <c r="P112" s="227"/>
      <c r="Q112" s="227"/>
      <c r="R112" s="230"/>
    </row>
    <row r="113" spans="1:18" ht="12.75">
      <c r="A113" s="181">
        <v>68</v>
      </c>
      <c r="B113" s="147">
        <f t="shared" si="27"/>
        <v>40312074.985008955</v>
      </c>
      <c r="C113" s="119">
        <f t="shared" si="24"/>
        <v>886429.6824328322</v>
      </c>
      <c r="D113" s="81">
        <f t="shared" si="21"/>
        <v>235153.7707458856</v>
      </c>
      <c r="E113" s="81">
        <f t="shared" si="25"/>
        <v>651275.9116869466</v>
      </c>
      <c r="F113" s="149">
        <f t="shared" si="18"/>
        <v>0.06000000000000004</v>
      </c>
      <c r="G113" s="150">
        <f t="shared" si="26"/>
        <v>0.005143012831822946</v>
      </c>
      <c r="H113" s="148">
        <f t="shared" si="19"/>
        <v>203975.99855444668</v>
      </c>
      <c r="I113" s="151">
        <f t="shared" si="20"/>
        <v>39456823.07476756</v>
      </c>
      <c r="J113" s="121">
        <f t="shared" si="28"/>
        <v>52802538.24319778</v>
      </c>
      <c r="K113" s="119">
        <f t="shared" si="22"/>
        <v>1161084.7921862407</v>
      </c>
      <c r="L113" s="81">
        <f t="shared" si="23"/>
        <v>308014.8064186537</v>
      </c>
      <c r="M113" s="122">
        <f t="shared" si="29"/>
        <v>853069.985767587</v>
      </c>
      <c r="N113" s="139">
        <f t="shared" si="17"/>
        <v>5.666666666666667</v>
      </c>
      <c r="O113" s="227"/>
      <c r="P113" s="227"/>
      <c r="Q113" s="227"/>
      <c r="R113" s="230"/>
    </row>
    <row r="114" spans="1:18" ht="12.75">
      <c r="A114" s="181">
        <v>69</v>
      </c>
      <c r="B114" s="147">
        <f t="shared" si="27"/>
        <v>39456823.07476756</v>
      </c>
      <c r="C114" s="119">
        <f t="shared" si="24"/>
        <v>881870.7632015711</v>
      </c>
      <c r="D114" s="81">
        <f t="shared" si="21"/>
        <v>230164.80126947744</v>
      </c>
      <c r="E114" s="81">
        <f t="shared" si="25"/>
        <v>651705.9619320936</v>
      </c>
      <c r="F114" s="149">
        <f t="shared" si="18"/>
        <v>0.06000000000000004</v>
      </c>
      <c r="G114" s="150">
        <f t="shared" si="26"/>
        <v>0.005143012831822946</v>
      </c>
      <c r="H114" s="148">
        <f t="shared" si="19"/>
        <v>199575.215251705</v>
      </c>
      <c r="I114" s="151">
        <f t="shared" si="20"/>
        <v>38605541.89758376</v>
      </c>
      <c r="J114" s="121">
        <f t="shared" si="28"/>
        <v>51949468.25743019</v>
      </c>
      <c r="K114" s="119">
        <f t="shared" si="22"/>
        <v>1161084.7921862407</v>
      </c>
      <c r="L114" s="81">
        <f t="shared" si="23"/>
        <v>303038.56483500946</v>
      </c>
      <c r="M114" s="122">
        <f t="shared" si="29"/>
        <v>858046.2273512313</v>
      </c>
      <c r="N114" s="139">
        <f t="shared" si="17"/>
        <v>5.75</v>
      </c>
      <c r="O114" s="227"/>
      <c r="P114" s="227"/>
      <c r="Q114" s="227"/>
      <c r="R114" s="230"/>
    </row>
    <row r="115" spans="1:18" ht="12.75">
      <c r="A115" s="181">
        <v>70</v>
      </c>
      <c r="B115" s="147">
        <f t="shared" si="27"/>
        <v>38605541.89758376</v>
      </c>
      <c r="C115" s="119">
        <f t="shared" si="24"/>
        <v>877335.2905504161</v>
      </c>
      <c r="D115" s="81">
        <f t="shared" si="21"/>
        <v>225198.99440257196</v>
      </c>
      <c r="E115" s="81">
        <f t="shared" si="25"/>
        <v>652136.2961478442</v>
      </c>
      <c r="F115" s="149">
        <f t="shared" si="18"/>
        <v>0.06000000000000004</v>
      </c>
      <c r="G115" s="150">
        <f t="shared" si="26"/>
        <v>0.005143012831822946</v>
      </c>
      <c r="H115" s="148">
        <f t="shared" si="19"/>
        <v>195194.8520195658</v>
      </c>
      <c r="I115" s="151">
        <f t="shared" si="20"/>
        <v>37758210.74941635</v>
      </c>
      <c r="J115" s="121">
        <f t="shared" si="28"/>
        <v>51091422.030078955</v>
      </c>
      <c r="K115" s="119">
        <f t="shared" si="22"/>
        <v>1161084.7921862407</v>
      </c>
      <c r="L115" s="81">
        <f t="shared" si="23"/>
        <v>298033.2951754606</v>
      </c>
      <c r="M115" s="122">
        <f t="shared" si="29"/>
        <v>863051.49701078</v>
      </c>
      <c r="N115" s="139">
        <f t="shared" si="17"/>
        <v>5.833333333333333</v>
      </c>
      <c r="O115" s="227"/>
      <c r="P115" s="227"/>
      <c r="Q115" s="227"/>
      <c r="R115" s="230"/>
    </row>
    <row r="116" spans="1:18" ht="12.75">
      <c r="A116" s="181">
        <v>71</v>
      </c>
      <c r="B116" s="147">
        <f t="shared" si="27"/>
        <v>37758210.74941635</v>
      </c>
      <c r="C116" s="119">
        <f t="shared" si="24"/>
        <v>872823.1438933043</v>
      </c>
      <c r="D116" s="81">
        <f t="shared" si="21"/>
        <v>220256.2293715954</v>
      </c>
      <c r="E116" s="81">
        <f t="shared" si="25"/>
        <v>652566.9145217089</v>
      </c>
      <c r="F116" s="149">
        <f t="shared" si="18"/>
        <v>0.06000000000000004</v>
      </c>
      <c r="G116" s="150">
        <f t="shared" si="26"/>
        <v>0.005143012831822946</v>
      </c>
      <c r="H116" s="148">
        <f t="shared" si="19"/>
        <v>190834.80237591514</v>
      </c>
      <c r="I116" s="151">
        <f t="shared" si="20"/>
        <v>36914809.03251873</v>
      </c>
      <c r="J116" s="121">
        <f t="shared" si="28"/>
        <v>50228370.53306817</v>
      </c>
      <c r="K116" s="119">
        <f t="shared" si="22"/>
        <v>1161084.7921862407</v>
      </c>
      <c r="L116" s="81">
        <f t="shared" si="23"/>
        <v>292998.8281095644</v>
      </c>
      <c r="M116" s="122">
        <f t="shared" si="29"/>
        <v>868085.9640766763</v>
      </c>
      <c r="N116" s="139">
        <f t="shared" si="17"/>
        <v>5.916666666666667</v>
      </c>
      <c r="O116" s="227"/>
      <c r="P116" s="227"/>
      <c r="Q116" s="227"/>
      <c r="R116" s="230"/>
    </row>
    <row r="117" spans="1:18" ht="13.5" thickBot="1">
      <c r="A117" s="181">
        <v>72</v>
      </c>
      <c r="B117" s="147">
        <f t="shared" si="27"/>
        <v>36914809.03251873</v>
      </c>
      <c r="C117" s="119">
        <f t="shared" si="24"/>
        <v>868334.203264349</v>
      </c>
      <c r="D117" s="81">
        <f t="shared" si="21"/>
        <v>215336.38602302593</v>
      </c>
      <c r="E117" s="81">
        <f t="shared" si="25"/>
        <v>652997.8172413231</v>
      </c>
      <c r="F117" s="149">
        <f t="shared" si="18"/>
        <v>0.06000000000000004</v>
      </c>
      <c r="G117" s="150">
        <f t="shared" si="26"/>
        <v>0.005143012831822946</v>
      </c>
      <c r="H117" s="148">
        <f t="shared" si="19"/>
        <v>186494.9603853129</v>
      </c>
      <c r="I117" s="151">
        <f t="shared" si="20"/>
        <v>36075316.25489209</v>
      </c>
      <c r="J117" s="121">
        <f t="shared" si="28"/>
        <v>49360284.5689915</v>
      </c>
      <c r="K117" s="119">
        <f t="shared" si="22"/>
        <v>1161084.7921862407</v>
      </c>
      <c r="L117" s="81">
        <f t="shared" si="23"/>
        <v>287934.99331911706</v>
      </c>
      <c r="M117" s="122">
        <f t="shared" si="29"/>
        <v>873149.7988671237</v>
      </c>
      <c r="N117" s="178">
        <f t="shared" si="17"/>
        <v>6</v>
      </c>
      <c r="O117" s="228"/>
      <c r="P117" s="228"/>
      <c r="Q117" s="228"/>
      <c r="R117" s="231"/>
    </row>
    <row r="118" spans="1:18" ht="12.75">
      <c r="A118" s="181">
        <v>73</v>
      </c>
      <c r="B118" s="147">
        <f t="shared" si="27"/>
        <v>36075316.25489209</v>
      </c>
      <c r="C118" s="119">
        <f t="shared" si="24"/>
        <v>863868.3493146495</v>
      </c>
      <c r="D118" s="81">
        <f t="shared" si="21"/>
        <v>210439.34482020387</v>
      </c>
      <c r="E118" s="81">
        <f t="shared" si="25"/>
        <v>653429.0044944456</v>
      </c>
      <c r="F118" s="149">
        <f t="shared" si="18"/>
        <v>0.06000000000000004</v>
      </c>
      <c r="G118" s="150">
        <f t="shared" si="26"/>
        <v>0.005143012831822946</v>
      </c>
      <c r="H118" s="148">
        <f t="shared" si="19"/>
        <v>182175.2206561807</v>
      </c>
      <c r="I118" s="151">
        <f t="shared" si="20"/>
        <v>35239712.029741466</v>
      </c>
      <c r="J118" s="121">
        <f t="shared" si="28"/>
        <v>48487134.770124376</v>
      </c>
      <c r="K118" s="119">
        <f t="shared" si="22"/>
        <v>1161084.7921862407</v>
      </c>
      <c r="L118" s="81">
        <f t="shared" si="23"/>
        <v>282841.61949239223</v>
      </c>
      <c r="M118" s="122">
        <f t="shared" si="29"/>
        <v>878243.1726938484</v>
      </c>
      <c r="N118" s="138">
        <f t="shared" si="17"/>
        <v>6.083333333333333</v>
      </c>
      <c r="O118" s="226">
        <f>+SUM(D118:D129)</f>
        <v>2208471.003155057</v>
      </c>
      <c r="P118" s="226">
        <f>+SUM(E118:E129)+SUM(H118:H129)</f>
        <v>9776333.164080432</v>
      </c>
      <c r="Q118" s="226">
        <f>+SUM(L118:L129)</f>
        <v>3049314.083581988</v>
      </c>
      <c r="R118" s="229">
        <f>+SUM(M118:M129)</f>
        <v>10883703.422652898</v>
      </c>
    </row>
    <row r="119" spans="1:18" ht="12.75">
      <c r="A119" s="181">
        <v>74</v>
      </c>
      <c r="B119" s="147">
        <f t="shared" si="27"/>
        <v>35239712.029741466</v>
      </c>
      <c r="C119" s="119">
        <f t="shared" si="24"/>
        <v>859425.4633091186</v>
      </c>
      <c r="D119" s="81">
        <f t="shared" si="21"/>
        <v>205564.98684015856</v>
      </c>
      <c r="E119" s="81">
        <f t="shared" si="25"/>
        <v>653860.47646896</v>
      </c>
      <c r="F119" s="149">
        <f t="shared" si="18"/>
        <v>0.06000000000000004</v>
      </c>
      <c r="G119" s="150">
        <f t="shared" si="26"/>
        <v>0.005143012831822946</v>
      </c>
      <c r="H119" s="148">
        <f t="shared" si="19"/>
        <v>177875.4783380041</v>
      </c>
      <c r="I119" s="151">
        <f t="shared" si="20"/>
        <v>34407976.074934505</v>
      </c>
      <c r="J119" s="121">
        <f t="shared" si="28"/>
        <v>47608891.59743053</v>
      </c>
      <c r="K119" s="119">
        <f t="shared" si="22"/>
        <v>1161084.7921862407</v>
      </c>
      <c r="L119" s="81">
        <f t="shared" si="23"/>
        <v>277718.5343183447</v>
      </c>
      <c r="M119" s="122">
        <f t="shared" si="29"/>
        <v>883366.257867896</v>
      </c>
      <c r="N119" s="139">
        <f t="shared" si="17"/>
        <v>6.166666666666667</v>
      </c>
      <c r="O119" s="227"/>
      <c r="P119" s="227"/>
      <c r="Q119" s="227"/>
      <c r="R119" s="230"/>
    </row>
    <row r="120" spans="1:18" ht="12.75">
      <c r="A120" s="181">
        <v>75</v>
      </c>
      <c r="B120" s="147">
        <f t="shared" si="27"/>
        <v>34407976.074934505</v>
      </c>
      <c r="C120" s="119">
        <f t="shared" si="24"/>
        <v>855005.4271233245</v>
      </c>
      <c r="D120" s="81">
        <f t="shared" si="21"/>
        <v>200713.1937704513</v>
      </c>
      <c r="E120" s="81">
        <f t="shared" si="25"/>
        <v>654292.2333528732</v>
      </c>
      <c r="F120" s="149">
        <f t="shared" si="18"/>
        <v>0.06000000000000004</v>
      </c>
      <c r="G120" s="150">
        <f t="shared" si="26"/>
        <v>0.005143012831822946</v>
      </c>
      <c r="H120" s="148">
        <f t="shared" si="19"/>
        <v>173595.6291185492</v>
      </c>
      <c r="I120" s="151">
        <f t="shared" si="20"/>
        <v>33580088.21246309</v>
      </c>
      <c r="J120" s="121">
        <f t="shared" si="28"/>
        <v>46725525.33956263</v>
      </c>
      <c r="K120" s="119">
        <f t="shared" si="22"/>
        <v>1161084.7921862407</v>
      </c>
      <c r="L120" s="81">
        <f t="shared" si="23"/>
        <v>272565.564480782</v>
      </c>
      <c r="M120" s="122">
        <f t="shared" si="29"/>
        <v>888519.2277054586</v>
      </c>
      <c r="N120" s="139">
        <f t="shared" si="17"/>
        <v>6.25</v>
      </c>
      <c r="O120" s="227"/>
      <c r="P120" s="227"/>
      <c r="Q120" s="227"/>
      <c r="R120" s="230"/>
    </row>
    <row r="121" spans="1:18" ht="12.75">
      <c r="A121" s="181">
        <v>76</v>
      </c>
      <c r="B121" s="147">
        <f t="shared" si="27"/>
        <v>33580088.21246309</v>
      </c>
      <c r="C121" s="119">
        <f t="shared" si="24"/>
        <v>850608.1232403512</v>
      </c>
      <c r="D121" s="81">
        <f t="shared" si="21"/>
        <v>195883.8479060347</v>
      </c>
      <c r="E121" s="81">
        <f t="shared" si="25"/>
        <v>654724.2753343165</v>
      </c>
      <c r="F121" s="149">
        <f t="shared" si="18"/>
        <v>0.06000000000000004</v>
      </c>
      <c r="G121" s="150">
        <f t="shared" si="26"/>
        <v>0.005143012831822946</v>
      </c>
      <c r="H121" s="148">
        <f t="shared" si="19"/>
        <v>169335.56922109376</v>
      </c>
      <c r="I121" s="151">
        <f t="shared" si="20"/>
        <v>32756028.367907677</v>
      </c>
      <c r="J121" s="121">
        <f t="shared" si="28"/>
        <v>45837006.111857176</v>
      </c>
      <c r="K121" s="119">
        <f t="shared" si="22"/>
        <v>1161084.7921862407</v>
      </c>
      <c r="L121" s="81">
        <f t="shared" si="23"/>
        <v>267382.5356525002</v>
      </c>
      <c r="M121" s="122">
        <f t="shared" si="29"/>
        <v>893702.2565337404</v>
      </c>
      <c r="N121" s="139">
        <f t="shared" si="17"/>
        <v>6.333333333333333</v>
      </c>
      <c r="O121" s="227"/>
      <c r="P121" s="227"/>
      <c r="Q121" s="227"/>
      <c r="R121" s="230"/>
    </row>
    <row r="122" spans="1:18" ht="12.75">
      <c r="A122" s="181">
        <v>77</v>
      </c>
      <c r="B122" s="147">
        <f t="shared" si="27"/>
        <v>32756028.367907677</v>
      </c>
      <c r="C122" s="119">
        <f t="shared" si="24"/>
        <v>846233.4347476731</v>
      </c>
      <c r="D122" s="81">
        <f t="shared" si="21"/>
        <v>191076.83214612812</v>
      </c>
      <c r="E122" s="81">
        <f t="shared" si="25"/>
        <v>655156.6026015449</v>
      </c>
      <c r="F122" s="149">
        <f t="shared" si="18"/>
        <v>0.06000000000000004</v>
      </c>
      <c r="G122" s="150">
        <f t="shared" si="26"/>
        <v>0.005143012831822946</v>
      </c>
      <c r="H122" s="148">
        <f t="shared" si="19"/>
        <v>165095.19540167233</v>
      </c>
      <c r="I122" s="151">
        <f t="shared" si="20"/>
        <v>31935776.56990446</v>
      </c>
      <c r="J122" s="121">
        <f t="shared" si="28"/>
        <v>44943303.855323434</v>
      </c>
      <c r="K122" s="119">
        <f t="shared" si="22"/>
        <v>1161084.7921862407</v>
      </c>
      <c r="L122" s="81">
        <f t="shared" si="23"/>
        <v>262169.2724893867</v>
      </c>
      <c r="M122" s="122">
        <f t="shared" si="29"/>
        <v>898915.5196968539</v>
      </c>
      <c r="N122" s="139">
        <f t="shared" si="17"/>
        <v>6.416666666666667</v>
      </c>
      <c r="O122" s="227"/>
      <c r="P122" s="227"/>
      <c r="Q122" s="227"/>
      <c r="R122" s="230"/>
    </row>
    <row r="123" spans="1:18" ht="12.75">
      <c r="A123" s="181">
        <v>78</v>
      </c>
      <c r="B123" s="147">
        <f t="shared" si="27"/>
        <v>31935776.56990446</v>
      </c>
      <c r="C123" s="119">
        <f t="shared" si="24"/>
        <v>841881.2453340483</v>
      </c>
      <c r="D123" s="81">
        <f t="shared" si="21"/>
        <v>186292.02999110936</v>
      </c>
      <c r="E123" s="81">
        <f t="shared" si="25"/>
        <v>655589.2153429389</v>
      </c>
      <c r="F123" s="149">
        <f t="shared" si="18"/>
        <v>0.06000000000000004</v>
      </c>
      <c r="G123" s="150">
        <f t="shared" si="26"/>
        <v>0.005143012831822946</v>
      </c>
      <c r="H123" s="148">
        <f t="shared" si="19"/>
        <v>160874.40494633577</v>
      </c>
      <c r="I123" s="151">
        <f t="shared" si="20"/>
        <v>31119312.949615188</v>
      </c>
      <c r="J123" s="121">
        <f t="shared" si="28"/>
        <v>44044388.33562658</v>
      </c>
      <c r="K123" s="119">
        <f t="shared" si="22"/>
        <v>1161084.7921862407</v>
      </c>
      <c r="L123" s="81">
        <f t="shared" si="23"/>
        <v>256925.5986244884</v>
      </c>
      <c r="M123" s="122">
        <f t="shared" si="29"/>
        <v>904159.1935617523</v>
      </c>
      <c r="N123" s="139">
        <f t="shared" si="17"/>
        <v>6.5</v>
      </c>
      <c r="O123" s="227"/>
      <c r="P123" s="227"/>
      <c r="Q123" s="227"/>
      <c r="R123" s="230"/>
    </row>
    <row r="124" spans="1:18" ht="12.75">
      <c r="A124" s="181">
        <v>79</v>
      </c>
      <c r="B124" s="147">
        <f t="shared" si="27"/>
        <v>31119312.949615188</v>
      </c>
      <c r="C124" s="119">
        <f t="shared" si="24"/>
        <v>837551.4392864243</v>
      </c>
      <c r="D124" s="81">
        <f t="shared" si="21"/>
        <v>181529.32553942193</v>
      </c>
      <c r="E124" s="81">
        <f t="shared" si="25"/>
        <v>656022.1137470023</v>
      </c>
      <c r="F124" s="149">
        <f t="shared" si="18"/>
        <v>0.06000000000000004</v>
      </c>
      <c r="G124" s="150">
        <f t="shared" si="26"/>
        <v>0.005143012831822946</v>
      </c>
      <c r="H124" s="148">
        <f t="shared" si="19"/>
        <v>156673.09566842444</v>
      </c>
      <c r="I124" s="151">
        <f t="shared" si="20"/>
        <v>30306617.740199763</v>
      </c>
      <c r="J124" s="121">
        <f t="shared" si="28"/>
        <v>43140229.142064825</v>
      </c>
      <c r="K124" s="119">
        <f t="shared" si="22"/>
        <v>1161084.7921862407</v>
      </c>
      <c r="L124" s="81">
        <f t="shared" si="23"/>
        <v>251651.33666204484</v>
      </c>
      <c r="M124" s="122">
        <f t="shared" si="29"/>
        <v>909433.4555241958</v>
      </c>
      <c r="N124" s="139">
        <f t="shared" si="17"/>
        <v>6.583333333333333</v>
      </c>
      <c r="O124" s="227"/>
      <c r="P124" s="227"/>
      <c r="Q124" s="227"/>
      <c r="R124" s="230"/>
    </row>
    <row r="125" spans="1:18" ht="12.75">
      <c r="A125" s="181">
        <v>80</v>
      </c>
      <c r="B125" s="147">
        <f t="shared" si="27"/>
        <v>30306617.740199763</v>
      </c>
      <c r="C125" s="119">
        <f t="shared" si="24"/>
        <v>833243.9014868626</v>
      </c>
      <c r="D125" s="81">
        <f t="shared" si="21"/>
        <v>176788.60348449863</v>
      </c>
      <c r="E125" s="81">
        <f t="shared" si="25"/>
        <v>656455.2980023639</v>
      </c>
      <c r="F125" s="149">
        <f t="shared" si="18"/>
        <v>0.06000000000000004</v>
      </c>
      <c r="G125" s="150">
        <f t="shared" si="26"/>
        <v>0.005143012831822946</v>
      </c>
      <c r="H125" s="148">
        <f t="shared" si="19"/>
        <v>152491.16590585603</v>
      </c>
      <c r="I125" s="151">
        <f t="shared" si="20"/>
        <v>29497671.276291545</v>
      </c>
      <c r="J125" s="121">
        <f t="shared" si="28"/>
        <v>42230795.686540626</v>
      </c>
      <c r="K125" s="119">
        <f t="shared" si="22"/>
        <v>1161084.7921862407</v>
      </c>
      <c r="L125" s="81">
        <f t="shared" si="23"/>
        <v>246346.308171487</v>
      </c>
      <c r="M125" s="122">
        <f t="shared" si="29"/>
        <v>914738.4840147537</v>
      </c>
      <c r="N125" s="139">
        <f t="shared" si="17"/>
        <v>6.666666666666667</v>
      </c>
      <c r="O125" s="227"/>
      <c r="P125" s="227"/>
      <c r="Q125" s="227"/>
      <c r="R125" s="230"/>
    </row>
    <row r="126" spans="1:18" ht="12.75">
      <c r="A126" s="181">
        <v>81</v>
      </c>
      <c r="B126" s="147">
        <f t="shared" si="27"/>
        <v>29497671.276291545</v>
      </c>
      <c r="C126" s="119">
        <f t="shared" si="24"/>
        <v>828958.5174094775</v>
      </c>
      <c r="D126" s="81">
        <f t="shared" si="21"/>
        <v>172069.7491117007</v>
      </c>
      <c r="E126" s="81">
        <f t="shared" si="25"/>
        <v>656888.7682977768</v>
      </c>
      <c r="F126" s="149">
        <f t="shared" si="18"/>
        <v>0.06000000000000004</v>
      </c>
      <c r="G126" s="150">
        <f t="shared" si="26"/>
        <v>0.005143012831822946</v>
      </c>
      <c r="H126" s="148">
        <f t="shared" si="19"/>
        <v>148328.51451842673</v>
      </c>
      <c r="I126" s="151">
        <f t="shared" si="20"/>
        <v>28692453.99347534</v>
      </c>
      <c r="J126" s="121">
        <f t="shared" si="28"/>
        <v>41316057.20252587</v>
      </c>
      <c r="K126" s="119">
        <f t="shared" si="22"/>
        <v>1161084.7921862407</v>
      </c>
      <c r="L126" s="81">
        <f t="shared" si="23"/>
        <v>241010.33368140092</v>
      </c>
      <c r="M126" s="122">
        <f t="shared" si="29"/>
        <v>920074.4585048398</v>
      </c>
      <c r="N126" s="139">
        <f t="shared" si="17"/>
        <v>6.75</v>
      </c>
      <c r="O126" s="227"/>
      <c r="P126" s="227"/>
      <c r="Q126" s="227"/>
      <c r="R126" s="230"/>
    </row>
    <row r="127" spans="1:18" ht="12.75">
      <c r="A127" s="181">
        <v>82</v>
      </c>
      <c r="B127" s="147">
        <f t="shared" si="27"/>
        <v>28692453.99347534</v>
      </c>
      <c r="C127" s="119">
        <f t="shared" si="24"/>
        <v>824695.1731173915</v>
      </c>
      <c r="D127" s="81">
        <f t="shared" si="21"/>
        <v>167372.64829527284</v>
      </c>
      <c r="E127" s="81">
        <f t="shared" si="25"/>
        <v>657322.5248221187</v>
      </c>
      <c r="F127" s="149">
        <f t="shared" si="18"/>
        <v>0.06000000000000004</v>
      </c>
      <c r="G127" s="150">
        <f t="shared" si="26"/>
        <v>0.005143012831822946</v>
      </c>
      <c r="H127" s="148">
        <f t="shared" si="19"/>
        <v>144185.0408851268</v>
      </c>
      <c r="I127" s="151">
        <f t="shared" si="20"/>
        <v>27890946.427768093</v>
      </c>
      <c r="J127" s="121">
        <f t="shared" si="28"/>
        <v>40395982.74402103</v>
      </c>
      <c r="K127" s="119">
        <f t="shared" si="22"/>
        <v>1161084.7921862407</v>
      </c>
      <c r="L127" s="81">
        <f t="shared" si="23"/>
        <v>235643.23267345602</v>
      </c>
      <c r="M127" s="122">
        <f t="shared" si="29"/>
        <v>925441.5595127847</v>
      </c>
      <c r="N127" s="139">
        <f t="shared" si="17"/>
        <v>6.833333333333333</v>
      </c>
      <c r="O127" s="227"/>
      <c r="P127" s="227"/>
      <c r="Q127" s="227"/>
      <c r="R127" s="230"/>
    </row>
    <row r="128" spans="1:18" ht="12.75">
      <c r="A128" s="181">
        <v>83</v>
      </c>
      <c r="B128" s="147">
        <f t="shared" si="27"/>
        <v>27890946.427768093</v>
      </c>
      <c r="C128" s="119">
        <f t="shared" si="24"/>
        <v>820453.7552597062</v>
      </c>
      <c r="D128" s="81">
        <f t="shared" si="21"/>
        <v>162697.18749531388</v>
      </c>
      <c r="E128" s="81">
        <f t="shared" si="25"/>
        <v>657756.5677643924</v>
      </c>
      <c r="F128" s="149">
        <f t="shared" si="18"/>
        <v>0.06000000000000004</v>
      </c>
      <c r="G128" s="150">
        <f t="shared" si="26"/>
        <v>0.005143012831822946</v>
      </c>
      <c r="H128" s="148">
        <f t="shared" si="19"/>
        <v>140060.64490146955</v>
      </c>
      <c r="I128" s="151">
        <f t="shared" si="20"/>
        <v>27093129.21510223</v>
      </c>
      <c r="J128" s="121">
        <f t="shared" si="28"/>
        <v>39470541.18450824</v>
      </c>
      <c r="K128" s="119">
        <f t="shared" si="22"/>
        <v>1161084.7921862407</v>
      </c>
      <c r="L128" s="81">
        <f t="shared" si="23"/>
        <v>230244.82357629808</v>
      </c>
      <c r="M128" s="122">
        <f t="shared" si="29"/>
        <v>930839.9686099426</v>
      </c>
      <c r="N128" s="139">
        <f t="shared" si="17"/>
        <v>6.916666666666667</v>
      </c>
      <c r="O128" s="227"/>
      <c r="P128" s="227"/>
      <c r="Q128" s="227"/>
      <c r="R128" s="230"/>
    </row>
    <row r="129" spans="1:18" ht="13.5" thickBot="1">
      <c r="A129" s="181">
        <v>84</v>
      </c>
      <c r="B129" s="147">
        <f t="shared" si="27"/>
        <v>27093129.21510223</v>
      </c>
      <c r="C129" s="119">
        <f t="shared" si="24"/>
        <v>816234.1510684883</v>
      </c>
      <c r="D129" s="81">
        <f t="shared" si="21"/>
        <v>158043.25375476302</v>
      </c>
      <c r="E129" s="81">
        <f t="shared" si="25"/>
        <v>658190.8973137252</v>
      </c>
      <c r="F129" s="149">
        <f t="shared" si="18"/>
        <v>0.06000000000000004</v>
      </c>
      <c r="G129" s="150">
        <f t="shared" si="26"/>
        <v>0.005143012831822946</v>
      </c>
      <c r="H129" s="148">
        <f t="shared" si="19"/>
        <v>135955.22697683435</v>
      </c>
      <c r="I129" s="151">
        <f t="shared" si="20"/>
        <v>26298983.09081167</v>
      </c>
      <c r="J129" s="121">
        <f t="shared" si="28"/>
        <v>38539701.2158983</v>
      </c>
      <c r="K129" s="119">
        <f t="shared" si="22"/>
        <v>1161084.7921862407</v>
      </c>
      <c r="L129" s="81">
        <f t="shared" si="23"/>
        <v>224814.92375940675</v>
      </c>
      <c r="M129" s="122">
        <f t="shared" si="29"/>
        <v>936269.8684268339</v>
      </c>
      <c r="N129" s="178">
        <f t="shared" si="17"/>
        <v>7</v>
      </c>
      <c r="O129" s="228"/>
      <c r="P129" s="228"/>
      <c r="Q129" s="228"/>
      <c r="R129" s="231"/>
    </row>
    <row r="130" spans="1:18" ht="12.75">
      <c r="A130" s="181">
        <v>85</v>
      </c>
      <c r="B130" s="147">
        <f t="shared" si="27"/>
        <v>26298983.09081167</v>
      </c>
      <c r="C130" s="119">
        <f t="shared" si="24"/>
        <v>812036.2483557707</v>
      </c>
      <c r="D130" s="81">
        <f t="shared" si="21"/>
        <v>153410.73469640143</v>
      </c>
      <c r="E130" s="81">
        <f t="shared" si="25"/>
        <v>658625.5136593693</v>
      </c>
      <c r="F130" s="149">
        <f t="shared" si="18"/>
        <v>0.06000000000000004</v>
      </c>
      <c r="G130" s="150">
        <f t="shared" si="26"/>
        <v>0.005143012831822946</v>
      </c>
      <c r="H130" s="148">
        <f t="shared" si="19"/>
        <v>131868.688031823</v>
      </c>
      <c r="I130" s="151">
        <f t="shared" si="20"/>
        <v>25508488.88912048</v>
      </c>
      <c r="J130" s="121">
        <f t="shared" si="28"/>
        <v>37603431.34747146</v>
      </c>
      <c r="K130" s="119">
        <f t="shared" si="22"/>
        <v>1161084.7921862407</v>
      </c>
      <c r="L130" s="81">
        <f t="shared" si="23"/>
        <v>219353.34952691686</v>
      </c>
      <c r="M130" s="122">
        <f t="shared" si="29"/>
        <v>941731.4426593238</v>
      </c>
      <c r="N130" s="138">
        <f t="shared" si="17"/>
        <v>7.083333333333333</v>
      </c>
      <c r="O130" s="226">
        <f>+SUM(D130:D141)</f>
        <v>1541196.385568457</v>
      </c>
      <c r="P130" s="226">
        <f>+SUM(E130:E141)+SUM(H130:H141)</f>
        <v>9250287.466288239</v>
      </c>
      <c r="Q130" s="226">
        <f>+SUM(L130:L141)</f>
        <v>2262530.28314312</v>
      </c>
      <c r="R130" s="229">
        <f>+SUM(M130:M141)</f>
        <v>11670487.223091766</v>
      </c>
    </row>
    <row r="131" spans="1:18" ht="12.75">
      <c r="A131" s="181">
        <v>86</v>
      </c>
      <c r="B131" s="147">
        <f t="shared" si="27"/>
        <v>25508488.88912048</v>
      </c>
      <c r="C131" s="119">
        <f t="shared" si="24"/>
        <v>807859.9355105718</v>
      </c>
      <c r="D131" s="81">
        <f t="shared" si="21"/>
        <v>148799.51851986945</v>
      </c>
      <c r="E131" s="81">
        <f t="shared" si="25"/>
        <v>659060.4169907024</v>
      </c>
      <c r="F131" s="149">
        <f t="shared" si="18"/>
        <v>0.06000000000000004</v>
      </c>
      <c r="G131" s="150">
        <f t="shared" si="26"/>
        <v>0.005143012831822946</v>
      </c>
      <c r="H131" s="148">
        <f t="shared" si="19"/>
        <v>127800.92949562991</v>
      </c>
      <c r="I131" s="151">
        <f t="shared" si="20"/>
        <v>24721627.54263415</v>
      </c>
      <c r="J131" s="121">
        <f t="shared" si="28"/>
        <v>36661699.904812135</v>
      </c>
      <c r="K131" s="119">
        <f t="shared" si="22"/>
        <v>1161084.7921862407</v>
      </c>
      <c r="L131" s="81">
        <f t="shared" si="23"/>
        <v>213859.91611140413</v>
      </c>
      <c r="M131" s="122">
        <f t="shared" si="29"/>
        <v>947224.8760748366</v>
      </c>
      <c r="N131" s="139">
        <f t="shared" si="17"/>
        <v>7.166666666666667</v>
      </c>
      <c r="O131" s="227"/>
      <c r="P131" s="227"/>
      <c r="Q131" s="227"/>
      <c r="R131" s="230"/>
    </row>
    <row r="132" spans="1:18" ht="12.75">
      <c r="A132" s="181">
        <v>87</v>
      </c>
      <c r="B132" s="147">
        <f t="shared" si="27"/>
        <v>24721627.54263415</v>
      </c>
      <c r="C132" s="119">
        <f t="shared" si="24"/>
        <v>803705.1014959252</v>
      </c>
      <c r="D132" s="81">
        <f t="shared" si="21"/>
        <v>144209.4939986992</v>
      </c>
      <c r="E132" s="81">
        <f t="shared" si="25"/>
        <v>659495.607497226</v>
      </c>
      <c r="F132" s="149">
        <f t="shared" si="18"/>
        <v>0.06000000000000004</v>
      </c>
      <c r="G132" s="150">
        <f t="shared" si="26"/>
        <v>0.005143012831822946</v>
      </c>
      <c r="H132" s="148">
        <f t="shared" si="19"/>
        <v>123751.85330342589</v>
      </c>
      <c r="I132" s="151">
        <f t="shared" si="20"/>
        <v>23938380.081833497</v>
      </c>
      <c r="J132" s="121">
        <f t="shared" si="28"/>
        <v>35714475.0287373</v>
      </c>
      <c r="K132" s="119">
        <f t="shared" si="22"/>
        <v>1161084.7921862407</v>
      </c>
      <c r="L132" s="81">
        <f t="shared" si="23"/>
        <v>208334.43766763425</v>
      </c>
      <c r="M132" s="122">
        <f t="shared" si="29"/>
        <v>952750.3545186064</v>
      </c>
      <c r="N132" s="139">
        <f t="shared" si="17"/>
        <v>7.25</v>
      </c>
      <c r="O132" s="227"/>
      <c r="P132" s="227"/>
      <c r="Q132" s="227"/>
      <c r="R132" s="230"/>
    </row>
    <row r="133" spans="1:18" ht="12.75">
      <c r="A133" s="181">
        <v>88</v>
      </c>
      <c r="B133" s="147">
        <f t="shared" si="27"/>
        <v>23938380.081833497</v>
      </c>
      <c r="C133" s="119">
        <f t="shared" si="24"/>
        <v>799571.6358459302</v>
      </c>
      <c r="D133" s="81">
        <f t="shared" si="21"/>
        <v>139640.55047736206</v>
      </c>
      <c r="E133" s="81">
        <f t="shared" si="25"/>
        <v>659931.0853685681</v>
      </c>
      <c r="F133" s="149">
        <f t="shared" si="18"/>
        <v>0.06000000000000004</v>
      </c>
      <c r="G133" s="150">
        <f t="shared" si="26"/>
        <v>0.005143012831822946</v>
      </c>
      <c r="H133" s="148">
        <f t="shared" si="19"/>
        <v>119721.36189375512</v>
      </c>
      <c r="I133" s="151">
        <f t="shared" si="20"/>
        <v>23158727.634571172</v>
      </c>
      <c r="J133" s="121">
        <f t="shared" si="28"/>
        <v>34761724.67421869</v>
      </c>
      <c r="K133" s="119">
        <f t="shared" si="22"/>
        <v>1161084.7921862407</v>
      </c>
      <c r="L133" s="81">
        <f t="shared" si="23"/>
        <v>202776.7272662757</v>
      </c>
      <c r="M133" s="122">
        <f t="shared" si="29"/>
        <v>958308.064919965</v>
      </c>
      <c r="N133" s="139">
        <f t="shared" si="17"/>
        <v>7.333333333333333</v>
      </c>
      <c r="O133" s="227"/>
      <c r="P133" s="227"/>
      <c r="Q133" s="227"/>
      <c r="R133" s="230"/>
    </row>
    <row r="134" spans="1:18" ht="12.75">
      <c r="A134" s="181">
        <v>89</v>
      </c>
      <c r="B134" s="147">
        <f t="shared" si="27"/>
        <v>23158727.634571172</v>
      </c>
      <c r="C134" s="119">
        <f t="shared" si="24"/>
        <v>795459.4286628129</v>
      </c>
      <c r="D134" s="81">
        <f t="shared" si="21"/>
        <v>135092.57786833183</v>
      </c>
      <c r="E134" s="81">
        <f t="shared" si="25"/>
        <v>660366.8507944811</v>
      </c>
      <c r="F134" s="149">
        <f t="shared" si="18"/>
        <v>0.06000000000000004</v>
      </c>
      <c r="G134" s="150">
        <f t="shared" si="26"/>
        <v>0.005143012831822946</v>
      </c>
      <c r="H134" s="148">
        <f t="shared" si="19"/>
        <v>115709.3582059457</v>
      </c>
      <c r="I134" s="151">
        <f t="shared" si="20"/>
        <v>22382651.42557075</v>
      </c>
      <c r="J134" s="121">
        <f t="shared" si="28"/>
        <v>33803416.60929873</v>
      </c>
      <c r="K134" s="119">
        <f t="shared" si="22"/>
        <v>1161084.7921862407</v>
      </c>
      <c r="L134" s="81">
        <f t="shared" si="23"/>
        <v>197186.59688757593</v>
      </c>
      <c r="M134" s="122">
        <f t="shared" si="29"/>
        <v>963898.1952986647</v>
      </c>
      <c r="N134" s="139">
        <f t="shared" si="17"/>
        <v>7.416666666666667</v>
      </c>
      <c r="O134" s="227"/>
      <c r="P134" s="227"/>
      <c r="Q134" s="227"/>
      <c r="R134" s="230"/>
    </row>
    <row r="135" spans="1:18" ht="12.75">
      <c r="A135" s="181">
        <v>90</v>
      </c>
      <c r="B135" s="147">
        <f t="shared" si="27"/>
        <v>22382651.42557075</v>
      </c>
      <c r="C135" s="119">
        <f t="shared" si="24"/>
        <v>791368.3706140058</v>
      </c>
      <c r="D135" s="81">
        <f t="shared" si="21"/>
        <v>130565.46664916271</v>
      </c>
      <c r="E135" s="81">
        <f t="shared" si="25"/>
        <v>660802.9039648431</v>
      </c>
      <c r="F135" s="149">
        <f t="shared" si="18"/>
        <v>0.06000000000000004</v>
      </c>
      <c r="G135" s="150">
        <f t="shared" si="26"/>
        <v>0.005143012831822946</v>
      </c>
      <c r="H135" s="148">
        <f t="shared" si="19"/>
        <v>111715.74567753346</v>
      </c>
      <c r="I135" s="151">
        <f t="shared" si="20"/>
        <v>21610132.77592837</v>
      </c>
      <c r="J135" s="121">
        <f t="shared" si="28"/>
        <v>32839518.414000064</v>
      </c>
      <c r="K135" s="119">
        <f t="shared" si="22"/>
        <v>1161084.7921862407</v>
      </c>
      <c r="L135" s="81">
        <f t="shared" si="23"/>
        <v>191563.85741500038</v>
      </c>
      <c r="M135" s="122">
        <f t="shared" si="29"/>
        <v>969520.9347712402</v>
      </c>
      <c r="N135" s="139">
        <f t="shared" si="17"/>
        <v>7.5</v>
      </c>
      <c r="O135" s="227"/>
      <c r="P135" s="227"/>
      <c r="Q135" s="227"/>
      <c r="R135" s="230"/>
    </row>
    <row r="136" spans="1:18" ht="12.75">
      <c r="A136" s="181">
        <v>91</v>
      </c>
      <c r="B136" s="147">
        <f t="shared" si="27"/>
        <v>21610132.77592837</v>
      </c>
      <c r="C136" s="119">
        <f t="shared" si="24"/>
        <v>787298.3529292389</v>
      </c>
      <c r="D136" s="81">
        <f t="shared" si="21"/>
        <v>126059.10785958217</v>
      </c>
      <c r="E136" s="81">
        <f t="shared" si="25"/>
        <v>661239.2450696568</v>
      </c>
      <c r="F136" s="149">
        <f t="shared" si="18"/>
        <v>0.06000000000000004</v>
      </c>
      <c r="G136" s="150">
        <f t="shared" si="26"/>
        <v>0.005143012831822946</v>
      </c>
      <c r="H136" s="148">
        <f t="shared" si="19"/>
        <v>107740.42824169908</v>
      </c>
      <c r="I136" s="151">
        <f t="shared" si="20"/>
        <v>20841153.102617014</v>
      </c>
      <c r="J136" s="121">
        <f t="shared" si="28"/>
        <v>31869997.479228824</v>
      </c>
      <c r="K136" s="119">
        <f t="shared" si="22"/>
        <v>1161084.7921862407</v>
      </c>
      <c r="L136" s="81">
        <f t="shared" si="23"/>
        <v>185908.31862883482</v>
      </c>
      <c r="M136" s="122">
        <f t="shared" si="29"/>
        <v>975176.4735574059</v>
      </c>
      <c r="N136" s="139">
        <f t="shared" si="17"/>
        <v>7.583333333333333</v>
      </c>
      <c r="O136" s="227"/>
      <c r="P136" s="227"/>
      <c r="Q136" s="227"/>
      <c r="R136" s="230"/>
    </row>
    <row r="137" spans="1:18" ht="12.75">
      <c r="A137" s="181">
        <v>92</v>
      </c>
      <c r="B137" s="147">
        <f t="shared" si="27"/>
        <v>20841153.102617014</v>
      </c>
      <c r="C137" s="119">
        <f t="shared" si="24"/>
        <v>783249.2673976509</v>
      </c>
      <c r="D137" s="81">
        <f t="shared" si="21"/>
        <v>121573.39309859925</v>
      </c>
      <c r="E137" s="81">
        <f t="shared" si="25"/>
        <v>661675.8742990516</v>
      </c>
      <c r="F137" s="149">
        <f t="shared" si="18"/>
        <v>0.06000000000000004</v>
      </c>
      <c r="G137" s="150">
        <f t="shared" si="26"/>
        <v>0.005143012831822946</v>
      </c>
      <c r="H137" s="148">
        <f t="shared" si="19"/>
        <v>103783.31032471822</v>
      </c>
      <c r="I137" s="151">
        <f t="shared" si="20"/>
        <v>20075693.917993244</v>
      </c>
      <c r="J137" s="121">
        <f t="shared" si="28"/>
        <v>30894821.00567142</v>
      </c>
      <c r="K137" s="119">
        <f t="shared" si="22"/>
        <v>1161084.7921862407</v>
      </c>
      <c r="L137" s="81">
        <f t="shared" si="23"/>
        <v>180219.78919974994</v>
      </c>
      <c r="M137" s="122">
        <f t="shared" si="29"/>
        <v>980865.0029864907</v>
      </c>
      <c r="N137" s="139">
        <f t="shared" si="17"/>
        <v>7.666666666666667</v>
      </c>
      <c r="O137" s="227"/>
      <c r="P137" s="227"/>
      <c r="Q137" s="227"/>
      <c r="R137" s="230"/>
    </row>
    <row r="138" spans="1:18" ht="12.75">
      <c r="A138" s="181">
        <v>93</v>
      </c>
      <c r="B138" s="147">
        <f t="shared" si="27"/>
        <v>20075693.917993244</v>
      </c>
      <c r="C138" s="119">
        <f t="shared" si="24"/>
        <v>779221.0063649087</v>
      </c>
      <c r="D138" s="81">
        <f t="shared" si="21"/>
        <v>117108.21452162726</v>
      </c>
      <c r="E138" s="81">
        <f t="shared" si="25"/>
        <v>662112.7918432814</v>
      </c>
      <c r="F138" s="149">
        <f t="shared" si="18"/>
        <v>0.06000000000000004</v>
      </c>
      <c r="G138" s="150">
        <f t="shared" si="26"/>
        <v>0.005143012831822946</v>
      </c>
      <c r="H138" s="148">
        <f t="shared" si="19"/>
        <v>99844.29684342502</v>
      </c>
      <c r="I138" s="151">
        <f t="shared" si="20"/>
        <v>19313736.82930654</v>
      </c>
      <c r="J138" s="121">
        <f t="shared" si="28"/>
        <v>29913956.00268493</v>
      </c>
      <c r="K138" s="119">
        <f t="shared" si="22"/>
        <v>1161084.7921862407</v>
      </c>
      <c r="L138" s="81">
        <f t="shared" si="23"/>
        <v>174498.07668232877</v>
      </c>
      <c r="M138" s="122">
        <f t="shared" si="29"/>
        <v>986586.715503912</v>
      </c>
      <c r="N138" s="139">
        <f t="shared" si="17"/>
        <v>7.75</v>
      </c>
      <c r="O138" s="227"/>
      <c r="P138" s="227"/>
      <c r="Q138" s="227"/>
      <c r="R138" s="230"/>
    </row>
    <row r="139" spans="1:18" ht="12.75">
      <c r="A139" s="181">
        <v>94</v>
      </c>
      <c r="B139" s="147">
        <f t="shared" si="27"/>
        <v>19313736.82930654</v>
      </c>
      <c r="C139" s="119">
        <f t="shared" si="24"/>
        <v>775213.4627303482</v>
      </c>
      <c r="D139" s="81">
        <f t="shared" si="21"/>
        <v>112663.46483762149</v>
      </c>
      <c r="E139" s="81">
        <f t="shared" si="25"/>
        <v>662549.9978927267</v>
      </c>
      <c r="F139" s="149">
        <f t="shared" si="18"/>
        <v>0.06000000000000004</v>
      </c>
      <c r="G139" s="150">
        <f t="shared" si="26"/>
        <v>0.005143012831822946</v>
      </c>
      <c r="H139" s="148">
        <f t="shared" si="19"/>
        <v>95923.2932026884</v>
      </c>
      <c r="I139" s="151">
        <f t="shared" si="20"/>
        <v>18555263.538211126</v>
      </c>
      <c r="J139" s="121">
        <f t="shared" si="28"/>
        <v>28927369.287181016</v>
      </c>
      <c r="K139" s="119">
        <f t="shared" si="22"/>
        <v>1161084.7921862407</v>
      </c>
      <c r="L139" s="81">
        <f t="shared" si="23"/>
        <v>168742.98750855593</v>
      </c>
      <c r="M139" s="122">
        <f t="shared" si="29"/>
        <v>992341.8046776848</v>
      </c>
      <c r="N139" s="139">
        <f t="shared" si="17"/>
        <v>7.833333333333333</v>
      </c>
      <c r="O139" s="227"/>
      <c r="P139" s="227"/>
      <c r="Q139" s="227"/>
      <c r="R139" s="230"/>
    </row>
    <row r="140" spans="1:18" ht="12.75">
      <c r="A140" s="181">
        <v>95</v>
      </c>
      <c r="B140" s="147">
        <f t="shared" si="27"/>
        <v>18555263.538211126</v>
      </c>
      <c r="C140" s="119">
        <f t="shared" si="24"/>
        <v>771226.529944124</v>
      </c>
      <c r="D140" s="81">
        <f t="shared" si="21"/>
        <v>108239.03730623158</v>
      </c>
      <c r="E140" s="81">
        <f t="shared" si="25"/>
        <v>662987.4926378925</v>
      </c>
      <c r="F140" s="149">
        <f t="shared" si="18"/>
        <v>0.06000000000000004</v>
      </c>
      <c r="G140" s="150">
        <f t="shared" si="26"/>
        <v>0.005143012831822946</v>
      </c>
      <c r="H140" s="148">
        <f t="shared" si="19"/>
        <v>92020.20529290146</v>
      </c>
      <c r="I140" s="151">
        <f t="shared" si="20"/>
        <v>17800255.84028033</v>
      </c>
      <c r="J140" s="121">
        <f t="shared" si="28"/>
        <v>27935027.482503332</v>
      </c>
      <c r="K140" s="119">
        <f t="shared" si="22"/>
        <v>1161084.7921862407</v>
      </c>
      <c r="L140" s="81">
        <f t="shared" si="23"/>
        <v>162954.32698126943</v>
      </c>
      <c r="M140" s="122">
        <f t="shared" si="29"/>
        <v>998130.4652049713</v>
      </c>
      <c r="N140" s="139">
        <f t="shared" si="17"/>
        <v>7.916666666666667</v>
      </c>
      <c r="O140" s="227"/>
      <c r="P140" s="227"/>
      <c r="Q140" s="227"/>
      <c r="R140" s="230"/>
    </row>
    <row r="141" spans="1:18" ht="13.5" thickBot="1">
      <c r="A141" s="181">
        <v>96</v>
      </c>
      <c r="B141" s="147">
        <f t="shared" si="27"/>
        <v>17800255.84028033</v>
      </c>
      <c r="C141" s="119">
        <f t="shared" si="24"/>
        <v>767260.102004379</v>
      </c>
      <c r="D141" s="81">
        <f t="shared" si="21"/>
        <v>103834.8257349686</v>
      </c>
      <c r="E141" s="81">
        <f t="shared" si="25"/>
        <v>663425.2762694104</v>
      </c>
      <c r="F141" s="149">
        <f t="shared" si="18"/>
        <v>0.06000000000000004</v>
      </c>
      <c r="G141" s="150">
        <f t="shared" si="26"/>
        <v>0.005143012831822946</v>
      </c>
      <c r="H141" s="148">
        <f t="shared" si="19"/>
        <v>88134.93948748383</v>
      </c>
      <c r="I141" s="151">
        <f t="shared" si="20"/>
        <v>17048695.62452344</v>
      </c>
      <c r="J141" s="121">
        <f t="shared" si="28"/>
        <v>26936897.01729836</v>
      </c>
      <c r="K141" s="119">
        <f t="shared" si="22"/>
        <v>1161084.7921862407</v>
      </c>
      <c r="L141" s="81">
        <f t="shared" si="23"/>
        <v>157131.89926757378</v>
      </c>
      <c r="M141" s="122">
        <f t="shared" si="29"/>
        <v>1003952.8929186668</v>
      </c>
      <c r="N141" s="178">
        <f t="shared" si="17"/>
        <v>8</v>
      </c>
      <c r="O141" s="228"/>
      <c r="P141" s="228"/>
      <c r="Q141" s="228"/>
      <c r="R141" s="231"/>
    </row>
    <row r="142" spans="1:18" ht="12.75">
      <c r="A142" s="181">
        <v>97</v>
      </c>
      <c r="B142" s="147">
        <f t="shared" si="27"/>
        <v>17048695.62452344</v>
      </c>
      <c r="C142" s="119">
        <f t="shared" si="24"/>
        <v>763314.0734544249</v>
      </c>
      <c r="D142" s="81">
        <f t="shared" si="21"/>
        <v>99450.72447638673</v>
      </c>
      <c r="E142" s="81">
        <f t="shared" si="25"/>
        <v>663863.3489780382</v>
      </c>
      <c r="F142" s="149">
        <f t="shared" si="18"/>
        <v>0.06000000000000004</v>
      </c>
      <c r="G142" s="150">
        <f t="shared" si="26"/>
        <v>0.005143012831822946</v>
      </c>
      <c r="H142" s="148">
        <f t="shared" si="19"/>
        <v>84267.40264039676</v>
      </c>
      <c r="I142" s="151">
        <f t="shared" si="20"/>
        <v>16300564.872905001</v>
      </c>
      <c r="J142" s="121">
        <f t="shared" si="28"/>
        <v>25932944.124379694</v>
      </c>
      <c r="K142" s="119">
        <f aca="true" t="shared" si="30" ref="K142:K165">+-PMT($C$39,120,+$J$46)</f>
        <v>1161084.7921862407</v>
      </c>
      <c r="L142" s="81">
        <f t="shared" si="23"/>
        <v>151275.5073922149</v>
      </c>
      <c r="M142" s="122">
        <f t="shared" si="29"/>
        <v>1009809.2847940258</v>
      </c>
      <c r="N142" s="138">
        <f t="shared" si="17"/>
        <v>8.083333333333334</v>
      </c>
      <c r="O142" s="226">
        <f>+SUM(D142:D153)</f>
        <v>909705.4214583723</v>
      </c>
      <c r="P142" s="226">
        <f>+SUM(E142:E153)+SUM(H142:H153)</f>
        <v>8756285.919975454</v>
      </c>
      <c r="Q142" s="226">
        <f>+SUM(L142:L153)</f>
        <v>1418869.8181541509</v>
      </c>
      <c r="R142" s="229">
        <f>+SUM(M142:M153)</f>
        <v>12514147.688080737</v>
      </c>
    </row>
    <row r="143" spans="1:18" ht="12.75">
      <c r="A143" s="181">
        <v>98</v>
      </c>
      <c r="B143" s="147">
        <f t="shared" si="27"/>
        <v>16300564.872905001</v>
      </c>
      <c r="C143" s="119">
        <f t="shared" si="24"/>
        <v>759388.3393799377</v>
      </c>
      <c r="D143" s="81">
        <f t="shared" si="21"/>
        <v>95086.62842527918</v>
      </c>
      <c r="E143" s="81">
        <f t="shared" si="25"/>
        <v>664301.7109546586</v>
      </c>
      <c r="F143" s="149">
        <f t="shared" si="18"/>
        <v>0.06000000000000004</v>
      </c>
      <c r="G143" s="150">
        <f t="shared" si="26"/>
        <v>0.005143012831822946</v>
      </c>
      <c r="H143" s="148">
        <f t="shared" si="19"/>
        <v>80417.50208367105</v>
      </c>
      <c r="I143" s="151">
        <f t="shared" si="20"/>
        <v>15555845.659866672</v>
      </c>
      <c r="J143" s="121">
        <f t="shared" si="28"/>
        <v>24923134.83958567</v>
      </c>
      <c r="K143" s="119">
        <f t="shared" si="30"/>
        <v>1161084.7921862407</v>
      </c>
      <c r="L143" s="81">
        <f t="shared" si="23"/>
        <v>145384.9532309164</v>
      </c>
      <c r="M143" s="122">
        <f t="shared" si="29"/>
        <v>1015699.8389553243</v>
      </c>
      <c r="N143" s="139">
        <f t="shared" si="17"/>
        <v>8.166666666666666</v>
      </c>
      <c r="O143" s="227"/>
      <c r="P143" s="227"/>
      <c r="Q143" s="227"/>
      <c r="R143" s="230"/>
    </row>
    <row r="144" spans="1:18" ht="12.75">
      <c r="A144" s="181">
        <v>99</v>
      </c>
      <c r="B144" s="147">
        <f t="shared" si="27"/>
        <v>15555845.659866672</v>
      </c>
      <c r="C144" s="119">
        <f t="shared" si="24"/>
        <v>755482.7954061701</v>
      </c>
      <c r="D144" s="81">
        <f t="shared" si="21"/>
        <v>90742.43301588892</v>
      </c>
      <c r="E144" s="81">
        <f t="shared" si="25"/>
        <v>664740.3623902812</v>
      </c>
      <c r="F144" s="149">
        <f t="shared" si="18"/>
        <v>0.06000000000000004</v>
      </c>
      <c r="G144" s="150">
        <f t="shared" si="26"/>
        <v>0.005143012831822946</v>
      </c>
      <c r="H144" s="148">
        <f t="shared" si="19"/>
        <v>76585.14562494772</v>
      </c>
      <c r="I144" s="151">
        <f t="shared" si="20"/>
        <v>14814520.151851444</v>
      </c>
      <c r="J144" s="121">
        <f t="shared" si="28"/>
        <v>23907435.000630345</v>
      </c>
      <c r="K144" s="119">
        <f t="shared" si="30"/>
        <v>1161084.7921862407</v>
      </c>
      <c r="L144" s="81">
        <f t="shared" si="23"/>
        <v>139460.037503677</v>
      </c>
      <c r="M144" s="122">
        <f t="shared" si="29"/>
        <v>1021624.7546825637</v>
      </c>
      <c r="N144" s="139">
        <f t="shared" si="17"/>
        <v>8.25</v>
      </c>
      <c r="O144" s="227"/>
      <c r="P144" s="227"/>
      <c r="Q144" s="227"/>
      <c r="R144" s="230"/>
    </row>
    <row r="145" spans="1:18" ht="12.75">
      <c r="A145" s="181">
        <v>100</v>
      </c>
      <c r="B145" s="147">
        <f t="shared" si="27"/>
        <v>14814520.151851444</v>
      </c>
      <c r="C145" s="119">
        <f t="shared" si="24"/>
        <v>751597.3376951746</v>
      </c>
      <c r="D145" s="81">
        <f t="shared" si="21"/>
        <v>86418.03421913342</v>
      </c>
      <c r="E145" s="81">
        <f t="shared" si="25"/>
        <v>665179.3034760412</v>
      </c>
      <c r="F145" s="149">
        <f t="shared" si="18"/>
        <v>0.06000000000000004</v>
      </c>
      <c r="G145" s="150">
        <f t="shared" si="26"/>
        <v>0.005143012831822946</v>
      </c>
      <c r="H145" s="148">
        <f t="shared" si="19"/>
        <v>72770.24154503127</v>
      </c>
      <c r="I145" s="151">
        <f t="shared" si="20"/>
        <v>14076570.606830372</v>
      </c>
      <c r="J145" s="121">
        <f t="shared" si="28"/>
        <v>22885810.245947782</v>
      </c>
      <c r="K145" s="119">
        <f t="shared" si="30"/>
        <v>1161084.7921862407</v>
      </c>
      <c r="L145" s="81">
        <f t="shared" si="23"/>
        <v>133500.55976802873</v>
      </c>
      <c r="M145" s="122">
        <f t="shared" si="29"/>
        <v>1027584.2324182119</v>
      </c>
      <c r="N145" s="139">
        <f t="shared" si="17"/>
        <v>8.333333333333334</v>
      </c>
      <c r="O145" s="227"/>
      <c r="P145" s="227"/>
      <c r="Q145" s="227"/>
      <c r="R145" s="230"/>
    </row>
    <row r="146" spans="1:18" ht="12.75">
      <c r="A146" s="181">
        <v>101</v>
      </c>
      <c r="B146" s="147">
        <f t="shared" si="27"/>
        <v>14076570.606830372</v>
      </c>
      <c r="C146" s="119">
        <f t="shared" si="24"/>
        <v>747731.8629430444</v>
      </c>
      <c r="D146" s="81">
        <f t="shared" si="21"/>
        <v>82113.32853984383</v>
      </c>
      <c r="E146" s="81">
        <f t="shared" si="25"/>
        <v>665618.5344032006</v>
      </c>
      <c r="F146" s="149">
        <f t="shared" si="18"/>
        <v>0.06000000000000004</v>
      </c>
      <c r="G146" s="150">
        <f t="shared" si="26"/>
        <v>0.005143012831822946</v>
      </c>
      <c r="H146" s="148">
        <f t="shared" si="19"/>
        <v>68972.69859545547</v>
      </c>
      <c r="I146" s="151">
        <f t="shared" si="20"/>
        <v>13341979.373831715</v>
      </c>
      <c r="J146" s="121">
        <f t="shared" si="28"/>
        <v>21858226.01352957</v>
      </c>
      <c r="K146" s="119">
        <f t="shared" si="30"/>
        <v>1161084.7921862407</v>
      </c>
      <c r="L146" s="81">
        <f t="shared" si="23"/>
        <v>127506.31841225583</v>
      </c>
      <c r="M146" s="122">
        <f t="shared" si="29"/>
        <v>1033578.4737739848</v>
      </c>
      <c r="N146" s="139">
        <f t="shared" si="17"/>
        <v>8.416666666666666</v>
      </c>
      <c r="O146" s="227"/>
      <c r="P146" s="227"/>
      <c r="Q146" s="227"/>
      <c r="R146" s="230"/>
    </row>
    <row r="147" spans="1:18" ht="12.75">
      <c r="A147" s="181">
        <v>102</v>
      </c>
      <c r="B147" s="147">
        <f t="shared" si="27"/>
        <v>13341979.373831715</v>
      </c>
      <c r="C147" s="119">
        <f t="shared" si="24"/>
        <v>743886.2683771654</v>
      </c>
      <c r="D147" s="81">
        <f t="shared" si="21"/>
        <v>77828.21301401834</v>
      </c>
      <c r="E147" s="81">
        <f t="shared" si="25"/>
        <v>666058.055363147</v>
      </c>
      <c r="F147" s="149">
        <f t="shared" si="18"/>
        <v>0.06000000000000004</v>
      </c>
      <c r="G147" s="150">
        <f t="shared" si="26"/>
        <v>0.005143012831822946</v>
      </c>
      <c r="H147" s="148">
        <f t="shared" si="19"/>
        <v>65192.42599606189</v>
      </c>
      <c r="I147" s="151">
        <f t="shared" si="20"/>
        <v>12610728.892472507</v>
      </c>
      <c r="J147" s="121">
        <f t="shared" si="28"/>
        <v>20824647.539755583</v>
      </c>
      <c r="K147" s="119">
        <f t="shared" si="30"/>
        <v>1161084.7921862407</v>
      </c>
      <c r="L147" s="81">
        <f t="shared" si="23"/>
        <v>121477.11064857423</v>
      </c>
      <c r="M147" s="122">
        <f t="shared" si="29"/>
        <v>1039607.6815376665</v>
      </c>
      <c r="N147" s="139">
        <f t="shared" si="17"/>
        <v>8.5</v>
      </c>
      <c r="O147" s="227"/>
      <c r="P147" s="227"/>
      <c r="Q147" s="227"/>
      <c r="R147" s="230"/>
    </row>
    <row r="148" spans="1:18" ht="12.75">
      <c r="A148" s="181">
        <v>103</v>
      </c>
      <c r="B148" s="147">
        <f t="shared" si="27"/>
        <v>12610728.892472507</v>
      </c>
      <c r="C148" s="119">
        <f t="shared" si="24"/>
        <v>740060.4517534847</v>
      </c>
      <c r="D148" s="81">
        <f t="shared" si="21"/>
        <v>73562.58520608963</v>
      </c>
      <c r="E148" s="81">
        <f t="shared" si="25"/>
        <v>666497.866547395</v>
      </c>
      <c r="F148" s="149">
        <f t="shared" si="18"/>
        <v>0.06000000000000004</v>
      </c>
      <c r="G148" s="150">
        <f t="shared" si="26"/>
        <v>0.005143012831822946</v>
      </c>
      <c r="H148" s="148">
        <f t="shared" si="19"/>
        <v>61429.33343259061</v>
      </c>
      <c r="I148" s="151">
        <f t="shared" si="20"/>
        <v>11882801.692492522</v>
      </c>
      <c r="J148" s="121">
        <f t="shared" si="28"/>
        <v>19785039.858217917</v>
      </c>
      <c r="K148" s="119">
        <f t="shared" si="30"/>
        <v>1161084.7921862407</v>
      </c>
      <c r="L148" s="81">
        <f t="shared" si="23"/>
        <v>115412.73250627119</v>
      </c>
      <c r="M148" s="122">
        <f t="shared" si="29"/>
        <v>1045672.0596799694</v>
      </c>
      <c r="N148" s="139">
        <f t="shared" si="17"/>
        <v>8.583333333333334</v>
      </c>
      <c r="O148" s="227"/>
      <c r="P148" s="227"/>
      <c r="Q148" s="227"/>
      <c r="R148" s="230"/>
    </row>
    <row r="149" spans="1:18" ht="12.75">
      <c r="A149" s="181">
        <v>104</v>
      </c>
      <c r="B149" s="147">
        <f t="shared" si="27"/>
        <v>11882801.692492522</v>
      </c>
      <c r="C149" s="119">
        <f t="shared" si="24"/>
        <v>736254.3113537919</v>
      </c>
      <c r="D149" s="81">
        <f t="shared" si="21"/>
        <v>69316.34320620638</v>
      </c>
      <c r="E149" s="81">
        <f t="shared" si="25"/>
        <v>666937.9681475855</v>
      </c>
      <c r="F149" s="149">
        <f t="shared" si="18"/>
        <v>0.06000000000000004</v>
      </c>
      <c r="G149" s="150">
        <f t="shared" si="26"/>
        <v>0.005143012831822946</v>
      </c>
      <c r="H149" s="148">
        <f t="shared" si="19"/>
        <v>57683.33105428351</v>
      </c>
      <c r="I149" s="151">
        <f t="shared" si="20"/>
        <v>11158180.393290654</v>
      </c>
      <c r="J149" s="121">
        <f t="shared" si="28"/>
        <v>18739367.798537947</v>
      </c>
      <c r="K149" s="119">
        <f t="shared" si="30"/>
        <v>1161084.7921862407</v>
      </c>
      <c r="L149" s="81">
        <f t="shared" si="23"/>
        <v>109312.9788248047</v>
      </c>
      <c r="M149" s="122">
        <f t="shared" si="29"/>
        <v>1051771.813361436</v>
      </c>
      <c r="N149" s="139">
        <f t="shared" si="17"/>
        <v>8.666666666666666</v>
      </c>
      <c r="O149" s="227"/>
      <c r="P149" s="227"/>
      <c r="Q149" s="227"/>
      <c r="R149" s="230"/>
    </row>
    <row r="150" spans="1:18" ht="12.75">
      <c r="A150" s="181">
        <v>105</v>
      </c>
      <c r="B150" s="147">
        <f t="shared" si="27"/>
        <v>11158180.393290654</v>
      </c>
      <c r="C150" s="119">
        <f t="shared" si="24"/>
        <v>732467.7459830143</v>
      </c>
      <c r="D150" s="81">
        <f t="shared" si="21"/>
        <v>65089.38562752882</v>
      </c>
      <c r="E150" s="81">
        <f t="shared" si="25"/>
        <v>667378.3603554856</v>
      </c>
      <c r="F150" s="149">
        <f t="shared" si="18"/>
        <v>0.06000000000000004</v>
      </c>
      <c r="G150" s="150">
        <f t="shared" si="26"/>
        <v>0.005143012831822946</v>
      </c>
      <c r="H150" s="148">
        <f t="shared" si="19"/>
        <v>53954.32947149982</v>
      </c>
      <c r="I150" s="151">
        <f t="shared" si="20"/>
        <v>10436847.703463668</v>
      </c>
      <c r="J150" s="121">
        <f t="shared" si="28"/>
        <v>17687595.98517651</v>
      </c>
      <c r="K150" s="119">
        <f t="shared" si="30"/>
        <v>1161084.7921862407</v>
      </c>
      <c r="L150" s="81">
        <f t="shared" si="23"/>
        <v>103177.64324686298</v>
      </c>
      <c r="M150" s="122">
        <f t="shared" si="29"/>
        <v>1057907.1489393776</v>
      </c>
      <c r="N150" s="139">
        <f t="shared" si="17"/>
        <v>8.75</v>
      </c>
      <c r="O150" s="227"/>
      <c r="P150" s="227"/>
      <c r="Q150" s="227"/>
      <c r="R150" s="230"/>
    </row>
    <row r="151" spans="1:18" ht="12.75">
      <c r="A151" s="181">
        <v>106</v>
      </c>
      <c r="B151" s="147">
        <f t="shared" si="27"/>
        <v>10436847.703463668</v>
      </c>
      <c r="C151" s="119">
        <f t="shared" si="24"/>
        <v>728700.6549665274</v>
      </c>
      <c r="D151" s="81">
        <f t="shared" si="21"/>
        <v>60881.61160353807</v>
      </c>
      <c r="E151" s="81">
        <f t="shared" si="25"/>
        <v>667819.0433629893</v>
      </c>
      <c r="F151" s="149">
        <f t="shared" si="18"/>
        <v>0.06000000000000004</v>
      </c>
      <c r="G151" s="150">
        <f t="shared" si="26"/>
        <v>0.005143012831822946</v>
      </c>
      <c r="H151" s="148">
        <f t="shared" si="19"/>
        <v>50242.23975334391</v>
      </c>
      <c r="I151" s="151">
        <f t="shared" si="20"/>
        <v>9718786.420347335</v>
      </c>
      <c r="J151" s="121">
        <f t="shared" si="28"/>
        <v>16629688.836237133</v>
      </c>
      <c r="K151" s="119">
        <f t="shared" si="30"/>
        <v>1161084.7921862407</v>
      </c>
      <c r="L151" s="81">
        <f t="shared" si="23"/>
        <v>97006.51821138327</v>
      </c>
      <c r="M151" s="122">
        <f t="shared" si="29"/>
        <v>1064078.2739748573</v>
      </c>
      <c r="N151" s="139">
        <f t="shared" si="17"/>
        <v>8.833333333333334</v>
      </c>
      <c r="O151" s="227"/>
      <c r="P151" s="227"/>
      <c r="Q151" s="227"/>
      <c r="R151" s="230"/>
    </row>
    <row r="152" spans="1:18" ht="12.75">
      <c r="A152" s="181">
        <v>107</v>
      </c>
      <c r="B152" s="147">
        <f t="shared" si="27"/>
        <v>9718786.420347335</v>
      </c>
      <c r="C152" s="119">
        <f t="shared" si="24"/>
        <v>724952.9381474768</v>
      </c>
      <c r="D152" s="81">
        <f t="shared" si="21"/>
        <v>56692.920785359456</v>
      </c>
      <c r="E152" s="81">
        <f t="shared" si="25"/>
        <v>668260.0173621173</v>
      </c>
      <c r="F152" s="149">
        <f t="shared" si="18"/>
        <v>0.06000000000000004</v>
      </c>
      <c r="G152" s="150">
        <f t="shared" si="26"/>
        <v>0.005143012831822946</v>
      </c>
      <c r="H152" s="148">
        <f t="shared" si="19"/>
        <v>46546.97342530535</v>
      </c>
      <c r="I152" s="151">
        <f t="shared" si="20"/>
        <v>9003979.429559913</v>
      </c>
      <c r="J152" s="121">
        <f t="shared" si="28"/>
        <v>15565610.562262274</v>
      </c>
      <c r="K152" s="119">
        <f t="shared" si="30"/>
        <v>1161084.7921862407</v>
      </c>
      <c r="L152" s="81">
        <f t="shared" si="23"/>
        <v>90799.39494652994</v>
      </c>
      <c r="M152" s="122">
        <f t="shared" si="29"/>
        <v>1070285.3972397107</v>
      </c>
      <c r="N152" s="139">
        <f t="shared" si="17"/>
        <v>8.916666666666666</v>
      </c>
      <c r="O152" s="227"/>
      <c r="P152" s="227"/>
      <c r="Q152" s="227"/>
      <c r="R152" s="230"/>
    </row>
    <row r="153" spans="1:18" ht="13.5" thickBot="1">
      <c r="A153" s="181">
        <v>108</v>
      </c>
      <c r="B153" s="147">
        <f t="shared" si="27"/>
        <v>9003979.429559913</v>
      </c>
      <c r="C153" s="119">
        <f t="shared" si="24"/>
        <v>721224.4958841165</v>
      </c>
      <c r="D153" s="81">
        <f t="shared" si="21"/>
        <v>52523.21333909949</v>
      </c>
      <c r="E153" s="81">
        <f t="shared" si="25"/>
        <v>668701.282545017</v>
      </c>
      <c r="F153" s="149">
        <f t="shared" si="18"/>
        <v>0.06000000000000004</v>
      </c>
      <c r="G153" s="150">
        <f t="shared" si="26"/>
        <v>0.005143012831822946</v>
      </c>
      <c r="H153" s="148">
        <f t="shared" si="19"/>
        <v>42868.442466910994</v>
      </c>
      <c r="I153" s="151">
        <f t="shared" si="20"/>
        <v>8292409.7045479845</v>
      </c>
      <c r="J153" s="121">
        <f t="shared" si="28"/>
        <v>14495325.165022563</v>
      </c>
      <c r="K153" s="119">
        <f t="shared" si="30"/>
        <v>1161084.7921862407</v>
      </c>
      <c r="L153" s="81">
        <f t="shared" si="23"/>
        <v>84556.06346263162</v>
      </c>
      <c r="M153" s="122">
        <f t="shared" si="29"/>
        <v>1076528.7287236091</v>
      </c>
      <c r="N153" s="178">
        <f t="shared" si="17"/>
        <v>9</v>
      </c>
      <c r="O153" s="228"/>
      <c r="P153" s="228"/>
      <c r="Q153" s="228"/>
      <c r="R153" s="231"/>
    </row>
    <row r="154" spans="1:18" ht="12.75">
      <c r="A154" s="181">
        <v>109</v>
      </c>
      <c r="B154" s="147">
        <f t="shared" si="27"/>
        <v>8292409.7045479845</v>
      </c>
      <c r="C154" s="119">
        <f t="shared" si="24"/>
        <v>717515.2290471595</v>
      </c>
      <c r="D154" s="81">
        <f t="shared" si="21"/>
        <v>48372.38994319658</v>
      </c>
      <c r="E154" s="81">
        <f t="shared" si="25"/>
        <v>669142.839103963</v>
      </c>
      <c r="F154" s="149">
        <f t="shared" si="18"/>
        <v>0.06000000000000004</v>
      </c>
      <c r="G154" s="150">
        <f t="shared" si="26"/>
        <v>0.005143012831822946</v>
      </c>
      <c r="H154" s="148">
        <f t="shared" si="19"/>
        <v>39206.55930938929</v>
      </c>
      <c r="I154" s="151">
        <f t="shared" si="20"/>
        <v>7584060.306134632</v>
      </c>
      <c r="J154" s="121">
        <f t="shared" si="28"/>
        <v>13418796.436298953</v>
      </c>
      <c r="K154" s="119">
        <f t="shared" si="30"/>
        <v>1161084.7921862407</v>
      </c>
      <c r="L154" s="81">
        <f t="shared" si="23"/>
        <v>78276.31254507723</v>
      </c>
      <c r="M154" s="122">
        <f t="shared" si="29"/>
        <v>1082808.4796411635</v>
      </c>
      <c r="N154" s="138">
        <f t="shared" si="17"/>
        <v>9.083333333333334</v>
      </c>
      <c r="O154" s="226">
        <f>+SUM(D154:D165)</f>
        <v>311817.27028818463</v>
      </c>
      <c r="P154" s="226">
        <f>+SUM(E154:E165)+SUM(H154:H165)</f>
        <v>8292409.7045479845</v>
      </c>
      <c r="Q154" s="226">
        <f>+SUM(L154:L165)</f>
        <v>514221.0699359193</v>
      </c>
      <c r="R154" s="229">
        <f>+SUM(M154:M165)</f>
        <v>13418796.436298968</v>
      </c>
    </row>
    <row r="155" spans="1:18" ht="12.75">
      <c r="A155" s="181">
        <v>110</v>
      </c>
      <c r="B155" s="147">
        <f t="shared" si="27"/>
        <v>7584060.306134632</v>
      </c>
      <c r="C155" s="119">
        <f t="shared" si="24"/>
        <v>713825.0390171416</v>
      </c>
      <c r="D155" s="81">
        <f t="shared" si="21"/>
        <v>44240.35178578535</v>
      </c>
      <c r="E155" s="81">
        <f t="shared" si="25"/>
        <v>669584.6872313562</v>
      </c>
      <c r="F155" s="149">
        <f t="shared" si="18"/>
        <v>0.06000000000000004</v>
      </c>
      <c r="G155" s="150">
        <f t="shared" si="26"/>
        <v>0.005143012831822946</v>
      </c>
      <c r="H155" s="148">
        <f t="shared" si="19"/>
        <v>35561.236833346455</v>
      </c>
      <c r="I155" s="151">
        <f t="shared" si="20"/>
        <v>6878914.3820699295</v>
      </c>
      <c r="J155" s="121">
        <f t="shared" si="28"/>
        <v>12335987.95665779</v>
      </c>
      <c r="K155" s="119">
        <f t="shared" si="30"/>
        <v>1161084.7921862407</v>
      </c>
      <c r="L155" s="81">
        <f t="shared" si="23"/>
        <v>71959.92974717045</v>
      </c>
      <c r="M155" s="122">
        <f t="shared" si="29"/>
        <v>1089124.8624390701</v>
      </c>
      <c r="N155" s="139">
        <f t="shared" si="17"/>
        <v>9.166666666666666</v>
      </c>
      <c r="O155" s="227"/>
      <c r="P155" s="227"/>
      <c r="Q155" s="227"/>
      <c r="R155" s="230"/>
    </row>
    <row r="156" spans="1:18" ht="12.75">
      <c r="A156" s="181">
        <v>111</v>
      </c>
      <c r="B156" s="147">
        <f t="shared" si="27"/>
        <v>6878914.3820699295</v>
      </c>
      <c r="C156" s="119">
        <f t="shared" si="24"/>
        <v>710153.8276817999</v>
      </c>
      <c r="D156" s="81">
        <f t="shared" si="21"/>
        <v>40127.000562074594</v>
      </c>
      <c r="E156" s="81">
        <f t="shared" si="25"/>
        <v>670026.8271197253</v>
      </c>
      <c r="F156" s="149">
        <f t="shared" si="18"/>
        <v>0.06000000000000004</v>
      </c>
      <c r="G156" s="150">
        <f t="shared" si="26"/>
        <v>0.005143012831822946</v>
      </c>
      <c r="H156" s="148">
        <f t="shared" si="19"/>
        <v>31932.388366454696</v>
      </c>
      <c r="I156" s="151">
        <f t="shared" si="20"/>
        <v>6176955.16658375</v>
      </c>
      <c r="J156" s="121">
        <f t="shared" si="28"/>
        <v>11246863.09421872</v>
      </c>
      <c r="K156" s="119">
        <f t="shared" si="30"/>
        <v>1161084.7921862407</v>
      </c>
      <c r="L156" s="81">
        <f t="shared" si="23"/>
        <v>65606.70138294254</v>
      </c>
      <c r="M156" s="122">
        <f t="shared" si="29"/>
        <v>1095478.0908032982</v>
      </c>
      <c r="N156" s="139">
        <f t="shared" si="17"/>
        <v>9.25</v>
      </c>
      <c r="O156" s="227"/>
      <c r="P156" s="227"/>
      <c r="Q156" s="227"/>
      <c r="R156" s="230"/>
    </row>
    <row r="157" spans="1:18" ht="12.75">
      <c r="A157" s="181">
        <v>112</v>
      </c>
      <c r="B157" s="147">
        <f t="shared" si="27"/>
        <v>6176955.16658375</v>
      </c>
      <c r="C157" s="119">
        <f t="shared" si="24"/>
        <v>706501.4974334643</v>
      </c>
      <c r="D157" s="81">
        <f t="shared" si="21"/>
        <v>36032.23847173854</v>
      </c>
      <c r="E157" s="81">
        <f t="shared" si="25"/>
        <v>670469.2589617257</v>
      </c>
      <c r="F157" s="149">
        <f t="shared" si="18"/>
        <v>0.06000000000000004</v>
      </c>
      <c r="G157" s="150">
        <f t="shared" si="26"/>
        <v>0.005143012831822946</v>
      </c>
      <c r="H157" s="148">
        <f t="shared" si="19"/>
        <v>28319.927681152294</v>
      </c>
      <c r="I157" s="151">
        <f t="shared" si="20"/>
        <v>5478165.979940872</v>
      </c>
      <c r="J157" s="121">
        <f t="shared" si="28"/>
        <v>10151385.00341542</v>
      </c>
      <c r="K157" s="119">
        <f t="shared" si="30"/>
        <v>1161084.7921862407</v>
      </c>
      <c r="L157" s="81">
        <f t="shared" si="23"/>
        <v>59216.41251992329</v>
      </c>
      <c r="M157" s="122">
        <f t="shared" si="29"/>
        <v>1101868.3796663175</v>
      </c>
      <c r="N157" s="139">
        <f t="shared" si="17"/>
        <v>9.333333333333334</v>
      </c>
      <c r="O157" s="227"/>
      <c r="P157" s="227"/>
      <c r="Q157" s="227"/>
      <c r="R157" s="230"/>
    </row>
    <row r="158" spans="1:18" ht="12.75">
      <c r="A158" s="181">
        <v>113</v>
      </c>
      <c r="B158" s="147">
        <f t="shared" si="27"/>
        <v>5478165.979940872</v>
      </c>
      <c r="C158" s="119">
        <f t="shared" si="24"/>
        <v>702867.9511664619</v>
      </c>
      <c r="D158" s="81">
        <f t="shared" si="21"/>
        <v>31955.968216321755</v>
      </c>
      <c r="E158" s="81">
        <f t="shared" si="25"/>
        <v>670911.9829501401</v>
      </c>
      <c r="F158" s="149">
        <f t="shared" si="18"/>
        <v>0.06000000000000004</v>
      </c>
      <c r="G158" s="150">
        <f t="shared" si="26"/>
        <v>0.005143012831822946</v>
      </c>
      <c r="H158" s="148">
        <f t="shared" si="19"/>
        <v>24723.768992355483</v>
      </c>
      <c r="I158" s="151">
        <f t="shared" si="20"/>
        <v>4782530.227998377</v>
      </c>
      <c r="J158" s="121">
        <f t="shared" si="28"/>
        <v>9049516.623749103</v>
      </c>
      <c r="K158" s="119">
        <f t="shared" si="30"/>
        <v>1161084.7921862407</v>
      </c>
      <c r="L158" s="81">
        <f t="shared" si="23"/>
        <v>52788.846971869774</v>
      </c>
      <c r="M158" s="122">
        <f t="shared" si="29"/>
        <v>1108295.945214371</v>
      </c>
      <c r="N158" s="139">
        <f t="shared" si="17"/>
        <v>9.416666666666666</v>
      </c>
      <c r="O158" s="227"/>
      <c r="P158" s="227"/>
      <c r="Q158" s="227"/>
      <c r="R158" s="230"/>
    </row>
    <row r="159" spans="1:18" ht="12.75">
      <c r="A159" s="181">
        <v>114</v>
      </c>
      <c r="B159" s="147">
        <f t="shared" si="27"/>
        <v>4782530.227998377</v>
      </c>
      <c r="C159" s="119">
        <f t="shared" si="24"/>
        <v>699253.0922745358</v>
      </c>
      <c r="D159" s="81">
        <f t="shared" si="21"/>
        <v>27898.0929966572</v>
      </c>
      <c r="E159" s="81">
        <f t="shared" si="25"/>
        <v>671354.9992778786</v>
      </c>
      <c r="F159" s="149">
        <f t="shared" si="18"/>
        <v>0.06000000000000004</v>
      </c>
      <c r="G159" s="150">
        <f t="shared" si="26"/>
        <v>0.005143012831822946</v>
      </c>
      <c r="H159" s="148">
        <f t="shared" si="19"/>
        <v>21143.826955182158</v>
      </c>
      <c r="I159" s="151">
        <f t="shared" si="20"/>
        <v>4090031.401765316</v>
      </c>
      <c r="J159" s="121">
        <f t="shared" si="28"/>
        <v>7941220.678534732</v>
      </c>
      <c r="K159" s="119">
        <f t="shared" si="30"/>
        <v>1161084.7921862407</v>
      </c>
      <c r="L159" s="81">
        <f t="shared" si="23"/>
        <v>46323.78729145261</v>
      </c>
      <c r="M159" s="122">
        <f t="shared" si="29"/>
        <v>1114761.0048947881</v>
      </c>
      <c r="N159" s="139">
        <f t="shared" si="17"/>
        <v>9.5</v>
      </c>
      <c r="O159" s="227"/>
      <c r="P159" s="227"/>
      <c r="Q159" s="227"/>
      <c r="R159" s="230"/>
    </row>
    <row r="160" spans="1:18" ht="12.75">
      <c r="A160" s="181">
        <v>115</v>
      </c>
      <c r="B160" s="147">
        <f t="shared" si="27"/>
        <v>4090031.401765316</v>
      </c>
      <c r="C160" s="119">
        <f t="shared" si="24"/>
        <v>695656.8246482759</v>
      </c>
      <c r="D160" s="81">
        <f t="shared" si="21"/>
        <v>23858.516510297675</v>
      </c>
      <c r="E160" s="81">
        <f t="shared" si="25"/>
        <v>671798.3081379782</v>
      </c>
      <c r="F160" s="149">
        <f t="shared" si="18"/>
        <v>0.06000000000000004</v>
      </c>
      <c r="G160" s="150">
        <f t="shared" si="26"/>
        <v>0.005143012831822946</v>
      </c>
      <c r="H160" s="148">
        <f t="shared" si="19"/>
        <v>17580.01666268724</v>
      </c>
      <c r="I160" s="151">
        <f t="shared" si="20"/>
        <v>3400653.0769646503</v>
      </c>
      <c r="J160" s="121">
        <f t="shared" si="28"/>
        <v>6826459.673639944</v>
      </c>
      <c r="K160" s="119">
        <f t="shared" si="30"/>
        <v>1161084.7921862407</v>
      </c>
      <c r="L160" s="81">
        <f t="shared" si="23"/>
        <v>39821.01476289967</v>
      </c>
      <c r="M160" s="122">
        <f t="shared" si="29"/>
        <v>1121263.777423341</v>
      </c>
      <c r="N160" s="139">
        <f t="shared" si="17"/>
        <v>9.583333333333334</v>
      </c>
      <c r="O160" s="227"/>
      <c r="P160" s="227"/>
      <c r="Q160" s="227"/>
      <c r="R160" s="230"/>
    </row>
    <row r="161" spans="1:18" ht="12.75">
      <c r="A161" s="181">
        <v>116</v>
      </c>
      <c r="B161" s="147">
        <f t="shared" si="27"/>
        <v>3400653.0769646503</v>
      </c>
      <c r="C161" s="119">
        <f t="shared" si="24"/>
        <v>692079.0526725646</v>
      </c>
      <c r="D161" s="81">
        <f t="shared" si="21"/>
        <v>19837.14294896046</v>
      </c>
      <c r="E161" s="81">
        <f t="shared" si="25"/>
        <v>672241.9097236042</v>
      </c>
      <c r="F161" s="149">
        <f t="shared" si="18"/>
        <v>0.06000000000000004</v>
      </c>
      <c r="G161" s="150">
        <f t="shared" si="26"/>
        <v>0.005143012831822946</v>
      </c>
      <c r="H161" s="148">
        <f t="shared" si="19"/>
        <v>14032.253643609723</v>
      </c>
      <c r="I161" s="151">
        <f t="shared" si="20"/>
        <v>2714378.9135974366</v>
      </c>
      <c r="J161" s="121">
        <f t="shared" si="28"/>
        <v>5705195.896216603</v>
      </c>
      <c r="K161" s="119">
        <f t="shared" si="30"/>
        <v>1161084.7921862407</v>
      </c>
      <c r="L161" s="81">
        <f t="shared" si="23"/>
        <v>33280.30939459685</v>
      </c>
      <c r="M161" s="122">
        <f t="shared" si="29"/>
        <v>1127804.4827916438</v>
      </c>
      <c r="N161" s="139">
        <f t="shared" si="17"/>
        <v>9.666666666666666</v>
      </c>
      <c r="O161" s="227"/>
      <c r="P161" s="227"/>
      <c r="Q161" s="227"/>
      <c r="R161" s="230"/>
    </row>
    <row r="162" spans="1:18" ht="12.75">
      <c r="A162" s="181">
        <v>117</v>
      </c>
      <c r="B162" s="147">
        <f t="shared" si="27"/>
        <v>2714378.9135974366</v>
      </c>
      <c r="C162" s="119">
        <f t="shared" si="24"/>
        <v>688519.6812240337</v>
      </c>
      <c r="D162" s="81">
        <f t="shared" si="21"/>
        <v>15833.876995985047</v>
      </c>
      <c r="E162" s="81">
        <f t="shared" si="25"/>
        <v>672685.8042280487</v>
      </c>
      <c r="F162" s="149">
        <f t="shared" si="18"/>
        <v>0.06000000000000004</v>
      </c>
      <c r="G162" s="150">
        <f t="shared" si="26"/>
        <v>0.005143012831822946</v>
      </c>
      <c r="H162" s="148">
        <f t="shared" si="19"/>
        <v>10500.453860131252</v>
      </c>
      <c r="I162" s="151">
        <f t="shared" si="20"/>
        <v>2031192.6555092568</v>
      </c>
      <c r="J162" s="121">
        <f t="shared" si="28"/>
        <v>4577391.413424959</v>
      </c>
      <c r="K162" s="119">
        <f t="shared" si="30"/>
        <v>1161084.7921862407</v>
      </c>
      <c r="L162" s="81">
        <f t="shared" si="23"/>
        <v>26701.4499116456</v>
      </c>
      <c r="M162" s="122">
        <f t="shared" si="29"/>
        <v>1134383.342274595</v>
      </c>
      <c r="N162" s="139">
        <f t="shared" si="17"/>
        <v>9.75</v>
      </c>
      <c r="O162" s="227"/>
      <c r="P162" s="227"/>
      <c r="Q162" s="227"/>
      <c r="R162" s="230"/>
    </row>
    <row r="163" spans="1:18" ht="12.75">
      <c r="A163" s="181">
        <v>118</v>
      </c>
      <c r="B163" s="147">
        <f t="shared" si="27"/>
        <v>2031192.6555092568</v>
      </c>
      <c r="C163" s="119">
        <f t="shared" si="24"/>
        <v>684978.6156685359</v>
      </c>
      <c r="D163" s="81">
        <f t="shared" si="21"/>
        <v>11848.623823803999</v>
      </c>
      <c r="E163" s="81">
        <f t="shared" si="25"/>
        <v>673129.991844732</v>
      </c>
      <c r="F163" s="149">
        <f t="shared" si="18"/>
        <v>0.06000000000000004</v>
      </c>
      <c r="G163" s="150">
        <f t="shared" si="26"/>
        <v>0.005143012831822946</v>
      </c>
      <c r="H163" s="148">
        <f t="shared" si="19"/>
        <v>6984.533705646301</v>
      </c>
      <c r="I163" s="151">
        <f t="shared" si="20"/>
        <v>1351078.1299588783</v>
      </c>
      <c r="J163" s="121">
        <f t="shared" si="28"/>
        <v>3443008.0711503644</v>
      </c>
      <c r="K163" s="119">
        <f t="shared" si="30"/>
        <v>1161084.7921862407</v>
      </c>
      <c r="L163" s="81">
        <f t="shared" si="23"/>
        <v>20084.213748377126</v>
      </c>
      <c r="M163" s="122">
        <f t="shared" si="29"/>
        <v>1141000.5784378636</v>
      </c>
      <c r="N163" s="139">
        <f t="shared" si="17"/>
        <v>9.833333333333334</v>
      </c>
      <c r="O163" s="227"/>
      <c r="P163" s="227"/>
      <c r="Q163" s="227"/>
      <c r="R163" s="230"/>
    </row>
    <row r="164" spans="1:18" ht="12.75">
      <c r="A164" s="181">
        <v>119</v>
      </c>
      <c r="B164" s="147">
        <f t="shared" si="27"/>
        <v>1351078.1299588783</v>
      </c>
      <c r="C164" s="119">
        <f t="shared" si="24"/>
        <v>681455.7618586282</v>
      </c>
      <c r="D164" s="81">
        <f t="shared" si="21"/>
        <v>7881.28909142679</v>
      </c>
      <c r="E164" s="81">
        <f t="shared" si="25"/>
        <v>673574.4727672015</v>
      </c>
      <c r="F164" s="149">
        <f t="shared" si="18"/>
        <v>0.06000000000000004</v>
      </c>
      <c r="G164" s="150">
        <f t="shared" si="26"/>
        <v>0.005143012831822946</v>
      </c>
      <c r="H164" s="148">
        <f t="shared" si="19"/>
        <v>3484.4100025437683</v>
      </c>
      <c r="I164" s="151">
        <f t="shared" si="20"/>
        <v>674019.247189133</v>
      </c>
      <c r="J164" s="121">
        <f t="shared" si="28"/>
        <v>2302007.4927125005</v>
      </c>
      <c r="K164" s="119">
        <f t="shared" si="30"/>
        <v>1161084.7921862407</v>
      </c>
      <c r="L164" s="81">
        <f t="shared" si="23"/>
        <v>13428.377040822921</v>
      </c>
      <c r="M164" s="122">
        <f t="shared" si="29"/>
        <v>1147656.4151454177</v>
      </c>
      <c r="N164" s="139">
        <f t="shared" si="17"/>
        <v>9.916666666666666</v>
      </c>
      <c r="O164" s="227"/>
      <c r="P164" s="227"/>
      <c r="Q164" s="227"/>
      <c r="R164" s="230"/>
    </row>
    <row r="165" spans="1:18" ht="13.5" thickBot="1">
      <c r="A165" s="182">
        <v>120</v>
      </c>
      <c r="B165" s="153">
        <f t="shared" si="27"/>
        <v>674019.247189133</v>
      </c>
      <c r="C165" s="153">
        <f t="shared" si="24"/>
        <v>677951.0261310695</v>
      </c>
      <c r="D165" s="153">
        <f t="shared" si="21"/>
        <v>3931.778941936609</v>
      </c>
      <c r="E165" s="153">
        <f t="shared" si="25"/>
        <v>674019.247189133</v>
      </c>
      <c r="F165" s="155">
        <f t="shared" si="18"/>
        <v>0.06000000000000004</v>
      </c>
      <c r="G165" s="156">
        <f t="shared" si="26"/>
        <v>0.005143012831822946</v>
      </c>
      <c r="H165" s="154">
        <f t="shared" si="19"/>
        <v>0</v>
      </c>
      <c r="I165" s="157">
        <f t="shared" si="20"/>
        <v>0</v>
      </c>
      <c r="J165" s="127">
        <f t="shared" si="28"/>
        <v>1154351.0775670828</v>
      </c>
      <c r="K165" s="128">
        <f t="shared" si="30"/>
        <v>1161084.7921862407</v>
      </c>
      <c r="L165" s="129">
        <f t="shared" si="23"/>
        <v>6733.714619141317</v>
      </c>
      <c r="M165" s="130">
        <f t="shared" si="29"/>
        <v>1154351.0775670994</v>
      </c>
      <c r="N165" s="178">
        <f t="shared" si="17"/>
        <v>10</v>
      </c>
      <c r="O165" s="228"/>
      <c r="P165" s="228"/>
      <c r="Q165" s="228"/>
      <c r="R165" s="231"/>
    </row>
  </sheetData>
  <sheetProtection/>
  <mergeCells count="61">
    <mergeCell ref="Q142:Q153"/>
    <mergeCell ref="R142:R153"/>
    <mergeCell ref="O154:O165"/>
    <mergeCell ref="P154:P165"/>
    <mergeCell ref="Q154:Q165"/>
    <mergeCell ref="R154:R165"/>
    <mergeCell ref="O130:O141"/>
    <mergeCell ref="P130:P141"/>
    <mergeCell ref="Q130:Q141"/>
    <mergeCell ref="R130:R141"/>
    <mergeCell ref="O142:O153"/>
    <mergeCell ref="P142:P153"/>
    <mergeCell ref="O106:O117"/>
    <mergeCell ref="P106:P117"/>
    <mergeCell ref="Q106:Q117"/>
    <mergeCell ref="R106:R117"/>
    <mergeCell ref="O118:O129"/>
    <mergeCell ref="P118:P129"/>
    <mergeCell ref="Q118:Q129"/>
    <mergeCell ref="R118:R129"/>
    <mergeCell ref="O82:O93"/>
    <mergeCell ref="P82:P93"/>
    <mergeCell ref="Q82:Q93"/>
    <mergeCell ref="R82:R93"/>
    <mergeCell ref="O94:O105"/>
    <mergeCell ref="P94:P105"/>
    <mergeCell ref="Q94:Q105"/>
    <mergeCell ref="R94:R105"/>
    <mergeCell ref="O64:O69"/>
    <mergeCell ref="P64:P69"/>
    <mergeCell ref="Q64:Q69"/>
    <mergeCell ref="R64:R69"/>
    <mergeCell ref="O70:O81"/>
    <mergeCell ref="P70:P81"/>
    <mergeCell ref="Q70:Q81"/>
    <mergeCell ref="R70:R81"/>
    <mergeCell ref="O55:O57"/>
    <mergeCell ref="P55:P57"/>
    <mergeCell ref="Q55:Q57"/>
    <mergeCell ref="R55:R57"/>
    <mergeCell ref="O58:O63"/>
    <mergeCell ref="P58:P63"/>
    <mergeCell ref="Q58:Q63"/>
    <mergeCell ref="R58:R63"/>
    <mergeCell ref="P47:P48"/>
    <mergeCell ref="Q47:Q48"/>
    <mergeCell ref="R47:R48"/>
    <mergeCell ref="O52:O54"/>
    <mergeCell ref="P52:P54"/>
    <mergeCell ref="Q52:Q54"/>
    <mergeCell ref="R52:R54"/>
    <mergeCell ref="N43:R43"/>
    <mergeCell ref="A44:I44"/>
    <mergeCell ref="J44:M44"/>
    <mergeCell ref="O44:P44"/>
    <mergeCell ref="Q44:R44"/>
    <mergeCell ref="O49:O51"/>
    <mergeCell ref="P49:P51"/>
    <mergeCell ref="Q49:Q51"/>
    <mergeCell ref="R49:R51"/>
    <mergeCell ref="O47:O4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I20"/>
  <sheetViews>
    <sheetView zoomScale="85" zoomScaleNormal="85" zoomScalePageLayoutView="0" workbookViewId="0" topLeftCell="A1">
      <selection activeCell="G11" sqref="G11"/>
    </sheetView>
  </sheetViews>
  <sheetFormatPr defaultColWidth="9.140625" defaultRowHeight="12.75"/>
  <cols>
    <col min="1" max="1" width="19.8515625" style="0" bestFit="1" customWidth="1"/>
    <col min="2" max="2" width="22.421875" style="0" customWidth="1"/>
    <col min="3" max="3" width="17.28125" style="0" bestFit="1" customWidth="1"/>
    <col min="4" max="4" width="13.8515625" style="0" customWidth="1"/>
    <col min="5" max="5" width="15.28125" style="0" customWidth="1"/>
    <col min="6" max="6" width="24.421875" style="0" customWidth="1"/>
    <col min="7" max="7" width="30.00390625" style="0" customWidth="1"/>
    <col min="8" max="8" width="34.7109375" style="0" customWidth="1"/>
    <col min="9" max="9" width="15.00390625" style="0" bestFit="1" customWidth="1"/>
    <col min="10" max="10" width="12.140625" style="0" customWidth="1"/>
    <col min="11" max="11" width="7.7109375" style="0" customWidth="1"/>
    <col min="12" max="12" width="23.57421875" style="0" customWidth="1"/>
    <col min="13" max="14" width="15.421875" style="0" customWidth="1"/>
    <col min="15" max="15" width="14.8515625" style="0" customWidth="1"/>
    <col min="16" max="16" width="10.28125" style="0" bestFit="1" customWidth="1"/>
  </cols>
  <sheetData>
    <row r="1" ht="201" customHeight="1" thickBot="1"/>
    <row r="2" spans="1:9" ht="51.75" customHeight="1" thickBot="1" thickTop="1">
      <c r="A2" s="58" t="s">
        <v>19</v>
      </c>
      <c r="B2" s="58" t="s">
        <v>18</v>
      </c>
      <c r="C2" s="58" t="s">
        <v>17</v>
      </c>
      <c r="D2" s="25" t="s">
        <v>16</v>
      </c>
      <c r="E2" s="25" t="s">
        <v>15</v>
      </c>
      <c r="F2" s="25" t="s">
        <v>14</v>
      </c>
      <c r="G2" s="25" t="s">
        <v>13</v>
      </c>
      <c r="H2" s="25" t="s">
        <v>12</v>
      </c>
      <c r="I2" s="25" t="s">
        <v>11</v>
      </c>
    </row>
    <row r="3" spans="1:9" ht="14.25" thickBot="1" thickTop="1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</row>
    <row r="4" spans="1:9" ht="14.25" thickBot="1" thickTop="1">
      <c r="A4" s="25" t="s">
        <v>10</v>
      </c>
      <c r="B4" s="25" t="s">
        <v>9</v>
      </c>
      <c r="C4" s="25" t="s">
        <v>8</v>
      </c>
      <c r="D4" s="25" t="s">
        <v>7</v>
      </c>
      <c r="E4" s="25" t="s">
        <v>6</v>
      </c>
      <c r="F4" s="25" t="s">
        <v>5</v>
      </c>
      <c r="G4" s="25" t="s">
        <v>4</v>
      </c>
      <c r="H4" s="25" t="s">
        <v>3</v>
      </c>
      <c r="I4" s="25" t="s">
        <v>2</v>
      </c>
    </row>
    <row r="5" spans="1:9" ht="13.5" thickTop="1">
      <c r="A5" s="35" t="s">
        <v>36</v>
      </c>
      <c r="B5" s="39" t="s">
        <v>72</v>
      </c>
      <c r="C5" s="39" t="s">
        <v>73</v>
      </c>
      <c r="D5" s="34" t="s">
        <v>59</v>
      </c>
      <c r="E5" s="41" t="s">
        <v>74</v>
      </c>
      <c r="F5" s="190">
        <f>-9722222.22222222-50000000</f>
        <v>-59722222.222222224</v>
      </c>
      <c r="G5" s="43"/>
      <c r="H5" s="43">
        <v>-150000000</v>
      </c>
      <c r="I5" s="21"/>
    </row>
    <row r="6" spans="1:9" ht="12.75">
      <c r="A6" s="36" t="s">
        <v>36</v>
      </c>
      <c r="B6" s="39" t="s">
        <v>72</v>
      </c>
      <c r="C6" s="41" t="s">
        <v>73</v>
      </c>
      <c r="D6" s="39" t="s">
        <v>59</v>
      </c>
      <c r="E6" s="41" t="s">
        <v>61</v>
      </c>
      <c r="F6" s="190">
        <v>-13888888.888888888</v>
      </c>
      <c r="G6" s="45"/>
      <c r="H6" s="45"/>
      <c r="I6" s="42"/>
    </row>
    <row r="7" spans="1:9" ht="12.75">
      <c r="A7" s="36" t="s">
        <v>36</v>
      </c>
      <c r="B7" s="39" t="s">
        <v>72</v>
      </c>
      <c r="C7" s="41" t="s">
        <v>73</v>
      </c>
      <c r="D7" s="39" t="s">
        <v>59</v>
      </c>
      <c r="E7" s="41" t="s">
        <v>62</v>
      </c>
      <c r="F7" s="190">
        <v>-15277777.777777774</v>
      </c>
      <c r="G7" s="45"/>
      <c r="H7" s="45"/>
      <c r="I7" s="42"/>
    </row>
    <row r="8" spans="1:9" ht="12.75">
      <c r="A8" s="36" t="s">
        <v>36</v>
      </c>
      <c r="B8" s="39" t="s">
        <v>72</v>
      </c>
      <c r="C8" s="41" t="s">
        <v>73</v>
      </c>
      <c r="D8" s="39" t="s">
        <v>59</v>
      </c>
      <c r="E8" s="41" t="s">
        <v>63</v>
      </c>
      <c r="F8" s="191">
        <v>-11111111.11111111</v>
      </c>
      <c r="G8" s="45"/>
      <c r="H8" s="45"/>
      <c r="I8" s="42"/>
    </row>
    <row r="9" spans="1:9" ht="12.75">
      <c r="A9" s="36" t="s">
        <v>36</v>
      </c>
      <c r="B9" s="39" t="s">
        <v>72</v>
      </c>
      <c r="C9" s="41" t="s">
        <v>73</v>
      </c>
      <c r="D9" s="39" t="s">
        <v>59</v>
      </c>
      <c r="E9" s="41" t="s">
        <v>64</v>
      </c>
      <c r="F9" s="191">
        <v>-11111111.11111111</v>
      </c>
      <c r="G9" s="45"/>
      <c r="H9" s="45"/>
      <c r="I9" s="42"/>
    </row>
    <row r="10" spans="1:9" ht="12.75">
      <c r="A10" s="36" t="s">
        <v>36</v>
      </c>
      <c r="B10" s="39" t="s">
        <v>72</v>
      </c>
      <c r="C10" s="41" t="s">
        <v>73</v>
      </c>
      <c r="D10" s="39" t="s">
        <v>59</v>
      </c>
      <c r="E10" s="41" t="s">
        <v>65</v>
      </c>
      <c r="F10" s="191">
        <v>-13888888.888888884</v>
      </c>
      <c r="G10" s="45"/>
      <c r="H10" s="45"/>
      <c r="I10" s="42"/>
    </row>
    <row r="11" spans="1:9" ht="12.75">
      <c r="A11" s="36" t="s">
        <v>36</v>
      </c>
      <c r="B11" s="39" t="s">
        <v>72</v>
      </c>
      <c r="C11" s="41" t="s">
        <v>73</v>
      </c>
      <c r="D11" s="39" t="s">
        <v>59</v>
      </c>
      <c r="E11" s="41" t="s">
        <v>66</v>
      </c>
      <c r="F11" s="191">
        <v>-13888888.888888884</v>
      </c>
      <c r="G11" s="45"/>
      <c r="H11" s="45"/>
      <c r="I11" s="42"/>
    </row>
    <row r="12" spans="1:9" ht="12.75">
      <c r="A12" s="36" t="s">
        <v>36</v>
      </c>
      <c r="B12" s="39" t="s">
        <v>72</v>
      </c>
      <c r="C12" s="39" t="s">
        <v>73</v>
      </c>
      <c r="D12" s="39" t="s">
        <v>59</v>
      </c>
      <c r="E12" s="41" t="s">
        <v>67</v>
      </c>
      <c r="F12" s="191">
        <v>-11111111.111111106</v>
      </c>
      <c r="G12" s="45"/>
      <c r="H12" s="45"/>
      <c r="I12" s="42"/>
    </row>
    <row r="13" spans="1:9" ht="12.75">
      <c r="A13" s="36" t="s">
        <v>36</v>
      </c>
      <c r="B13" s="39" t="s">
        <v>72</v>
      </c>
      <c r="C13" s="39" t="s">
        <v>73</v>
      </c>
      <c r="D13" s="41" t="s">
        <v>60</v>
      </c>
      <c r="E13" s="39" t="s">
        <v>74</v>
      </c>
      <c r="F13" s="191">
        <v>-10000.000000000002</v>
      </c>
      <c r="G13" s="45"/>
      <c r="H13" s="45"/>
      <c r="I13" s="42"/>
    </row>
    <row r="14" spans="1:9" ht="12.75">
      <c r="A14" s="36" t="s">
        <v>36</v>
      </c>
      <c r="B14" s="39" t="s">
        <v>72</v>
      </c>
      <c r="C14" s="39" t="s">
        <v>73</v>
      </c>
      <c r="D14" s="41" t="s">
        <v>60</v>
      </c>
      <c r="E14" s="41" t="s">
        <v>61</v>
      </c>
      <c r="F14" s="191">
        <v>-17361.11111111111</v>
      </c>
      <c r="G14" s="45"/>
      <c r="H14" s="45"/>
      <c r="I14" s="42"/>
    </row>
    <row r="15" spans="1:9" ht="12.75">
      <c r="A15" s="36" t="s">
        <v>36</v>
      </c>
      <c r="B15" s="39" t="s">
        <v>72</v>
      </c>
      <c r="C15" s="39" t="s">
        <v>73</v>
      </c>
      <c r="D15" s="41" t="s">
        <v>60</v>
      </c>
      <c r="E15" s="41" t="s">
        <v>62</v>
      </c>
      <c r="F15" s="191">
        <v>-21388.88888888888</v>
      </c>
      <c r="G15" s="45"/>
      <c r="H15" s="45"/>
      <c r="I15" s="42"/>
    </row>
    <row r="16" spans="1:9" ht="12.75">
      <c r="A16" s="36" t="s">
        <v>36</v>
      </c>
      <c r="B16" s="39" t="s">
        <v>72</v>
      </c>
      <c r="C16" s="39" t="s">
        <v>73</v>
      </c>
      <c r="D16" s="41" t="s">
        <v>60</v>
      </c>
      <c r="E16" s="41" t="s">
        <v>63</v>
      </c>
      <c r="F16" s="191">
        <v>-17222.222222222215</v>
      </c>
      <c r="G16" s="45"/>
      <c r="H16" s="45"/>
      <c r="I16" s="42"/>
    </row>
    <row r="17" spans="1:9" ht="12.75">
      <c r="A17" s="36" t="s">
        <v>36</v>
      </c>
      <c r="B17" s="39" t="s">
        <v>72</v>
      </c>
      <c r="C17" s="39" t="s">
        <v>73</v>
      </c>
      <c r="D17" s="41" t="s">
        <v>60</v>
      </c>
      <c r="E17" s="41" t="s">
        <v>64</v>
      </c>
      <c r="F17" s="191">
        <v>-13888.888888888883</v>
      </c>
      <c r="G17" s="45"/>
      <c r="H17" s="45"/>
      <c r="I17" s="42"/>
    </row>
    <row r="18" spans="1:9" ht="12.75">
      <c r="A18" s="36" t="s">
        <v>36</v>
      </c>
      <c r="B18" s="39" t="s">
        <v>72</v>
      </c>
      <c r="C18" s="39" t="s">
        <v>73</v>
      </c>
      <c r="D18" s="41" t="s">
        <v>60</v>
      </c>
      <c r="E18" s="41" t="s">
        <v>65</v>
      </c>
      <c r="F18" s="191">
        <v>-19861.111111111106</v>
      </c>
      <c r="G18" s="45"/>
      <c r="H18" s="45"/>
      <c r="I18" s="42"/>
    </row>
    <row r="19" spans="1:9" ht="12.75">
      <c r="A19" s="36" t="s">
        <v>36</v>
      </c>
      <c r="B19" s="39" t="s">
        <v>72</v>
      </c>
      <c r="C19" s="39" t="s">
        <v>73</v>
      </c>
      <c r="D19" s="41" t="s">
        <v>60</v>
      </c>
      <c r="E19" s="41" t="s">
        <v>66</v>
      </c>
      <c r="F19" s="191">
        <v>-11527.777777777774</v>
      </c>
      <c r="G19" s="45"/>
      <c r="H19" s="45"/>
      <c r="I19" s="42"/>
    </row>
    <row r="20" spans="1:9" s="47" customFormat="1" ht="13.5" thickBot="1">
      <c r="A20" s="64" t="s">
        <v>36</v>
      </c>
      <c r="B20" s="65" t="s">
        <v>72</v>
      </c>
      <c r="C20" s="65" t="s">
        <v>73</v>
      </c>
      <c r="D20" s="65" t="s">
        <v>60</v>
      </c>
      <c r="E20" s="65" t="s">
        <v>67</v>
      </c>
      <c r="F20" s="192">
        <v>-7222.222222222219</v>
      </c>
      <c r="G20" s="66"/>
      <c r="H20" s="66"/>
      <c r="I20" s="67"/>
    </row>
    <row r="21" ht="13.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I26"/>
  <sheetViews>
    <sheetView zoomScale="85" zoomScaleNormal="85" zoomScalePageLayoutView="0" workbookViewId="0" topLeftCell="A1">
      <selection activeCell="B14" sqref="B14"/>
    </sheetView>
  </sheetViews>
  <sheetFormatPr defaultColWidth="9.140625" defaultRowHeight="12.75"/>
  <cols>
    <col min="1" max="1" width="14.140625" style="0" customWidth="1"/>
    <col min="2" max="2" width="16.140625" style="0" bestFit="1" customWidth="1"/>
    <col min="3" max="4" width="16.57421875" style="0" bestFit="1" customWidth="1"/>
    <col min="5" max="5" width="13.8515625" style="0" bestFit="1" customWidth="1"/>
    <col min="6" max="6" width="28.140625" style="0" customWidth="1"/>
    <col min="7" max="7" width="26.00390625" style="0" customWidth="1"/>
    <col min="8" max="8" width="33.7109375" style="0" customWidth="1"/>
    <col min="9" max="9" width="9.421875" style="0" bestFit="1" customWidth="1"/>
    <col min="10" max="10" width="14.00390625" style="0" bestFit="1" customWidth="1"/>
    <col min="11" max="11" width="12.421875" style="0" bestFit="1" customWidth="1"/>
  </cols>
  <sheetData>
    <row r="1" ht="50.25" customHeight="1" thickBot="1"/>
    <row r="2" spans="1:9" ht="39.75" thickBot="1" thickTop="1">
      <c r="A2" s="25" t="s">
        <v>19</v>
      </c>
      <c r="B2" s="25" t="s">
        <v>18</v>
      </c>
      <c r="C2" s="25" t="s">
        <v>17</v>
      </c>
      <c r="D2" s="25" t="s">
        <v>16</v>
      </c>
      <c r="E2" s="25" t="s">
        <v>15</v>
      </c>
      <c r="F2" s="25" t="s">
        <v>14</v>
      </c>
      <c r="G2" s="25" t="s">
        <v>13</v>
      </c>
      <c r="H2" s="25" t="s">
        <v>12</v>
      </c>
      <c r="I2" s="25" t="s">
        <v>11</v>
      </c>
    </row>
    <row r="3" spans="1:9" ht="14.25" thickBot="1" thickTop="1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</row>
    <row r="4" spans="1:9" ht="14.25" thickBot="1" thickTop="1">
      <c r="A4" s="25" t="s">
        <v>10</v>
      </c>
      <c r="B4" s="25" t="s">
        <v>9</v>
      </c>
      <c r="C4" s="25" t="s">
        <v>8</v>
      </c>
      <c r="D4" s="25" t="s">
        <v>7</v>
      </c>
      <c r="E4" s="25" t="s">
        <v>6</v>
      </c>
      <c r="F4" s="25" t="s">
        <v>5</v>
      </c>
      <c r="G4" s="25" t="s">
        <v>4</v>
      </c>
      <c r="H4" s="25" t="s">
        <v>3</v>
      </c>
      <c r="I4" s="25" t="s">
        <v>2</v>
      </c>
    </row>
    <row r="5" spans="1:9" ht="13.5" thickTop="1">
      <c r="A5" s="35" t="s">
        <v>36</v>
      </c>
      <c r="B5" s="39" t="s">
        <v>82</v>
      </c>
      <c r="C5" s="39" t="s">
        <v>83</v>
      </c>
      <c r="D5" s="34" t="s">
        <v>60</v>
      </c>
      <c r="E5" s="41" t="s">
        <v>64</v>
      </c>
      <c r="F5" s="43"/>
      <c r="G5" s="43">
        <f>-B21</f>
        <v>-2750000</v>
      </c>
      <c r="H5" s="43"/>
      <c r="I5" s="21"/>
    </row>
    <row r="6" spans="1:9" ht="12.75">
      <c r="A6" s="36" t="s">
        <v>36</v>
      </c>
      <c r="B6" s="39" t="s">
        <v>82</v>
      </c>
      <c r="C6" s="41" t="s">
        <v>83</v>
      </c>
      <c r="D6" s="39" t="s">
        <v>60</v>
      </c>
      <c r="E6" s="39" t="s">
        <v>66</v>
      </c>
      <c r="F6" s="44"/>
      <c r="G6" s="44">
        <f>-B23</f>
        <v>-2750000</v>
      </c>
      <c r="H6" s="44"/>
      <c r="I6" s="17"/>
    </row>
    <row r="7" spans="1:9" ht="12.75">
      <c r="A7" s="36" t="s">
        <v>36</v>
      </c>
      <c r="B7" s="39" t="s">
        <v>82</v>
      </c>
      <c r="C7" s="41" t="s">
        <v>83</v>
      </c>
      <c r="D7" s="39" t="s">
        <v>60</v>
      </c>
      <c r="E7" s="41" t="s">
        <v>67</v>
      </c>
      <c r="F7" s="45"/>
      <c r="G7" s="44">
        <f>-B25</f>
        <v>-2750000</v>
      </c>
      <c r="H7" s="45"/>
      <c r="I7" s="42"/>
    </row>
    <row r="8" spans="1:9" ht="12.75">
      <c r="A8" s="36" t="s">
        <v>36</v>
      </c>
      <c r="B8" s="39" t="s">
        <v>82</v>
      </c>
      <c r="C8" s="41" t="s">
        <v>83</v>
      </c>
      <c r="D8" s="41" t="s">
        <v>59</v>
      </c>
      <c r="E8" s="41" t="s">
        <v>67</v>
      </c>
      <c r="F8" s="45"/>
      <c r="G8" s="45">
        <f>+-B15</f>
        <v>-500000000</v>
      </c>
      <c r="H8" s="45"/>
      <c r="I8" s="42"/>
    </row>
    <row r="9" spans="1:9" ht="12.75">
      <c r="A9" s="36" t="s">
        <v>36</v>
      </c>
      <c r="B9" s="41" t="s">
        <v>84</v>
      </c>
      <c r="C9" s="41" t="s">
        <v>58</v>
      </c>
      <c r="D9" s="41" t="s">
        <v>59</v>
      </c>
      <c r="E9" s="41" t="s">
        <v>62</v>
      </c>
      <c r="F9" s="45"/>
      <c r="G9" s="45">
        <f>+B15</f>
        <v>500000000</v>
      </c>
      <c r="H9" s="45"/>
      <c r="I9" s="42"/>
    </row>
    <row r="10" spans="1:9" ht="13.5" thickBot="1">
      <c r="A10" s="98" t="s">
        <v>36</v>
      </c>
      <c r="B10" s="99" t="s">
        <v>84</v>
      </c>
      <c r="C10" s="99" t="s">
        <v>58</v>
      </c>
      <c r="D10" s="99" t="s">
        <v>60</v>
      </c>
      <c r="E10" s="99" t="s">
        <v>62</v>
      </c>
      <c r="F10" s="46"/>
      <c r="G10" s="46">
        <f>+C20</f>
        <v>500000</v>
      </c>
      <c r="H10" s="46"/>
      <c r="I10" s="14"/>
    </row>
    <row r="11" ht="13.5" thickTop="1"/>
    <row r="12" spans="1:9" ht="12.75">
      <c r="A12" s="77" t="s">
        <v>40</v>
      </c>
      <c r="B12" s="189" t="s">
        <v>131</v>
      </c>
      <c r="C12" s="90"/>
      <c r="D12" s="47"/>
      <c r="E12" s="47"/>
      <c r="I12" s="47"/>
    </row>
    <row r="13" spans="1:8" ht="12.75">
      <c r="A13" s="77" t="s">
        <v>75</v>
      </c>
      <c r="B13" s="194">
        <v>0.0055</v>
      </c>
      <c r="C13" s="90"/>
      <c r="D13" s="47"/>
      <c r="E13" s="47"/>
      <c r="F13" s="47"/>
      <c r="H13" s="47"/>
    </row>
    <row r="14" spans="1:6" ht="12.75">
      <c r="A14" s="77" t="s">
        <v>76</v>
      </c>
      <c r="B14" s="189" t="s">
        <v>79</v>
      </c>
      <c r="C14" s="90"/>
      <c r="D14" s="47"/>
      <c r="E14" s="47"/>
      <c r="F14" s="47"/>
    </row>
    <row r="15" spans="1:5" ht="12.75">
      <c r="A15" s="77" t="s">
        <v>93</v>
      </c>
      <c r="B15" s="160">
        <v>500000000</v>
      </c>
      <c r="C15" s="90"/>
      <c r="D15" s="47"/>
      <c r="E15" s="47"/>
    </row>
    <row r="16" spans="1:6" ht="12.75">
      <c r="A16" s="77" t="s">
        <v>85</v>
      </c>
      <c r="B16" s="160" t="s">
        <v>71</v>
      </c>
      <c r="C16" s="48"/>
      <c r="D16" s="57"/>
      <c r="E16" s="90"/>
      <c r="F16" s="47"/>
    </row>
    <row r="17" spans="1:3" ht="12.75">
      <c r="A17" s="77" t="s">
        <v>79</v>
      </c>
      <c r="B17" s="91">
        <v>0.002</v>
      </c>
      <c r="C17" s="48"/>
    </row>
    <row r="18" ht="13.5" thickBot="1"/>
    <row r="19" spans="1:4" ht="13.5" thickBot="1">
      <c r="A19" s="188" t="s">
        <v>92</v>
      </c>
      <c r="B19" s="186" t="s">
        <v>129</v>
      </c>
      <c r="C19" s="187" t="s">
        <v>130</v>
      </c>
      <c r="D19" s="47"/>
    </row>
    <row r="20" spans="1:4" ht="12.75">
      <c r="A20" s="183">
        <v>0.5</v>
      </c>
      <c r="B20" s="184"/>
      <c r="C20" s="185">
        <f>B15*(B17/2)</f>
        <v>500000</v>
      </c>
      <c r="D20" s="33"/>
    </row>
    <row r="21" spans="1:4" ht="12.75">
      <c r="A21" s="92">
        <v>1</v>
      </c>
      <c r="B21" s="86">
        <f>B15*B13</f>
        <v>2750000</v>
      </c>
      <c r="C21" s="87"/>
      <c r="D21" s="33"/>
    </row>
    <row r="22" spans="1:4" ht="12.75">
      <c r="A22" s="92">
        <v>1.5</v>
      </c>
      <c r="B22" s="86"/>
      <c r="C22" s="87"/>
      <c r="D22" s="33"/>
    </row>
    <row r="23" spans="1:4" ht="12.75">
      <c r="A23" s="92">
        <v>2</v>
      </c>
      <c r="B23" s="86">
        <f>B15*B13</f>
        <v>2750000</v>
      </c>
      <c r="C23" s="87"/>
      <c r="D23" s="33"/>
    </row>
    <row r="24" spans="1:4" ht="12.75">
      <c r="A24" s="92">
        <v>2.5</v>
      </c>
      <c r="B24" s="86"/>
      <c r="C24" s="87"/>
      <c r="D24" s="33"/>
    </row>
    <row r="25" spans="1:4" ht="13.5" thickBot="1">
      <c r="A25" s="93">
        <v>3</v>
      </c>
      <c r="B25" s="88">
        <f>+B15*B13</f>
        <v>2750000</v>
      </c>
      <c r="C25" s="89"/>
      <c r="D25" s="33"/>
    </row>
    <row r="26" ht="12.75">
      <c r="D26" s="3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I32"/>
  <sheetViews>
    <sheetView zoomScale="85" zoomScaleNormal="85" zoomScalePageLayoutView="0" workbookViewId="0" topLeftCell="A7">
      <selection activeCell="A1" sqref="A1"/>
    </sheetView>
  </sheetViews>
  <sheetFormatPr defaultColWidth="9.140625" defaultRowHeight="12.75"/>
  <cols>
    <col min="1" max="1" width="14.140625" style="0" customWidth="1"/>
    <col min="2" max="4" width="16.57421875" style="0" bestFit="1" customWidth="1"/>
    <col min="5" max="5" width="13.8515625" style="0" bestFit="1" customWidth="1"/>
    <col min="6" max="6" width="28.140625" style="0" customWidth="1"/>
    <col min="7" max="7" width="26.00390625" style="0" customWidth="1"/>
    <col min="8" max="8" width="33.7109375" style="0" customWidth="1"/>
    <col min="9" max="9" width="9.421875" style="0" bestFit="1" customWidth="1"/>
    <col min="10" max="10" width="14.00390625" style="0" bestFit="1" customWidth="1"/>
    <col min="11" max="11" width="12.421875" style="0" bestFit="1" customWidth="1"/>
  </cols>
  <sheetData>
    <row r="1" ht="97.5" customHeight="1" thickBot="1"/>
    <row r="2" spans="1:9" ht="39.75" thickBot="1" thickTop="1">
      <c r="A2" s="25" t="s">
        <v>19</v>
      </c>
      <c r="B2" s="25" t="s">
        <v>18</v>
      </c>
      <c r="C2" s="25" t="s">
        <v>17</v>
      </c>
      <c r="D2" s="25" t="s">
        <v>16</v>
      </c>
      <c r="E2" s="25" t="s">
        <v>15</v>
      </c>
      <c r="F2" s="25" t="s">
        <v>14</v>
      </c>
      <c r="G2" s="25" t="s">
        <v>13</v>
      </c>
      <c r="H2" s="25" t="s">
        <v>12</v>
      </c>
      <c r="I2" s="25" t="s">
        <v>11</v>
      </c>
    </row>
    <row r="3" spans="1:9" ht="14.25" thickBot="1" thickTop="1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</row>
    <row r="4" spans="1:9" ht="14.25" thickBot="1" thickTop="1">
      <c r="A4" s="25" t="s">
        <v>10</v>
      </c>
      <c r="B4" s="25" t="s">
        <v>9</v>
      </c>
      <c r="C4" s="25" t="s">
        <v>8</v>
      </c>
      <c r="D4" s="25" t="s">
        <v>7</v>
      </c>
      <c r="E4" s="25" t="s">
        <v>6</v>
      </c>
      <c r="F4" s="25" t="s">
        <v>5</v>
      </c>
      <c r="G4" s="25" t="s">
        <v>4</v>
      </c>
      <c r="H4" s="25" t="s">
        <v>3</v>
      </c>
      <c r="I4" s="25" t="s">
        <v>2</v>
      </c>
    </row>
    <row r="5" spans="1:9" ht="13.5" thickTop="1">
      <c r="A5" s="51" t="s">
        <v>35</v>
      </c>
      <c r="B5" s="52" t="s">
        <v>82</v>
      </c>
      <c r="C5" s="40" t="s">
        <v>58</v>
      </c>
      <c r="D5" s="52" t="s">
        <v>60</v>
      </c>
      <c r="E5" s="40" t="s">
        <v>62</v>
      </c>
      <c r="F5" s="53"/>
      <c r="G5" s="53">
        <f>-B26*B19</f>
        <v>-812500</v>
      </c>
      <c r="H5" s="53"/>
      <c r="I5" s="54"/>
    </row>
    <row r="6" spans="1:9" ht="12.75">
      <c r="A6" s="36" t="s">
        <v>35</v>
      </c>
      <c r="B6" s="39" t="s">
        <v>82</v>
      </c>
      <c r="C6" s="41" t="s">
        <v>58</v>
      </c>
      <c r="D6" s="39" t="s">
        <v>59</v>
      </c>
      <c r="E6" s="41" t="s">
        <v>62</v>
      </c>
      <c r="F6" s="45"/>
      <c r="G6" s="45">
        <f>-B17*B19</f>
        <v>-3250000000</v>
      </c>
      <c r="H6" s="45"/>
      <c r="I6" s="42"/>
    </row>
    <row r="7" spans="1:9" ht="12.75">
      <c r="A7" s="36" t="s">
        <v>36</v>
      </c>
      <c r="B7" s="39" t="s">
        <v>84</v>
      </c>
      <c r="C7" s="39" t="s">
        <v>58</v>
      </c>
      <c r="D7" s="39" t="s">
        <v>60</v>
      </c>
      <c r="E7" s="41" t="s">
        <v>62</v>
      </c>
      <c r="F7" s="45"/>
      <c r="G7" s="45">
        <f>+C26</f>
        <v>6400000</v>
      </c>
      <c r="H7" s="45"/>
      <c r="I7" s="42"/>
    </row>
    <row r="8" spans="1:9" ht="12.75">
      <c r="A8" s="36" t="s">
        <v>36</v>
      </c>
      <c r="B8" s="39" t="s">
        <v>84</v>
      </c>
      <c r="C8" s="39" t="s">
        <v>58</v>
      </c>
      <c r="D8" s="39" t="s">
        <v>60</v>
      </c>
      <c r="E8" s="39" t="s">
        <v>64</v>
      </c>
      <c r="F8" s="45"/>
      <c r="G8" s="45">
        <f>+C27</f>
        <v>3200000</v>
      </c>
      <c r="H8" s="45"/>
      <c r="I8" s="42"/>
    </row>
    <row r="9" spans="1:9" ht="12.75">
      <c r="A9" s="36" t="s">
        <v>36</v>
      </c>
      <c r="B9" s="39" t="s">
        <v>84</v>
      </c>
      <c r="C9" s="39" t="s">
        <v>58</v>
      </c>
      <c r="D9" s="39" t="s">
        <v>60</v>
      </c>
      <c r="E9" s="41" t="s">
        <v>65</v>
      </c>
      <c r="F9" s="45"/>
      <c r="G9" s="45">
        <f>+C28</f>
        <v>3200000</v>
      </c>
      <c r="H9" s="45"/>
      <c r="I9" s="42"/>
    </row>
    <row r="10" spans="1:9" ht="12.75">
      <c r="A10" s="36" t="s">
        <v>36</v>
      </c>
      <c r="B10" s="39" t="s">
        <v>84</v>
      </c>
      <c r="C10" s="39" t="s">
        <v>58</v>
      </c>
      <c r="D10" s="39" t="s">
        <v>60</v>
      </c>
      <c r="E10" s="41" t="s">
        <v>66</v>
      </c>
      <c r="F10" s="45"/>
      <c r="G10" s="45">
        <f>+C29</f>
        <v>3200000</v>
      </c>
      <c r="H10" s="45"/>
      <c r="I10" s="42"/>
    </row>
    <row r="11" spans="1:9" ht="12.75">
      <c r="A11" s="36" t="s">
        <v>36</v>
      </c>
      <c r="B11" s="39" t="s">
        <v>84</v>
      </c>
      <c r="C11" s="39" t="s">
        <v>58</v>
      </c>
      <c r="D11" s="41" t="s">
        <v>60</v>
      </c>
      <c r="E11" s="41" t="s">
        <v>67</v>
      </c>
      <c r="F11" s="45"/>
      <c r="G11" s="45">
        <f>+C30+C31</f>
        <v>6400000</v>
      </c>
      <c r="H11" s="45"/>
      <c r="I11" s="42"/>
    </row>
    <row r="12" spans="1:9" ht="13.5" thickBot="1">
      <c r="A12" s="98" t="s">
        <v>36</v>
      </c>
      <c r="B12" s="99" t="s">
        <v>84</v>
      </c>
      <c r="C12" s="99" t="s">
        <v>58</v>
      </c>
      <c r="D12" s="99" t="s">
        <v>59</v>
      </c>
      <c r="E12" s="99" t="s">
        <v>62</v>
      </c>
      <c r="F12" s="46"/>
      <c r="G12" s="46">
        <f>+B18</f>
        <v>3200000000</v>
      </c>
      <c r="H12" s="46"/>
      <c r="I12" s="14"/>
    </row>
    <row r="13" ht="13.5" thickTop="1"/>
    <row r="14" spans="1:9" ht="12.75">
      <c r="A14" s="77" t="s">
        <v>40</v>
      </c>
      <c r="B14" s="68" t="s">
        <v>132</v>
      </c>
      <c r="I14" s="47"/>
    </row>
    <row r="15" spans="1:8" ht="12.75">
      <c r="A15" s="77" t="s">
        <v>75</v>
      </c>
      <c r="B15" s="189" t="s">
        <v>77</v>
      </c>
      <c r="F15" s="47"/>
      <c r="H15" s="47"/>
    </row>
    <row r="16" spans="1:6" ht="12.75">
      <c r="A16" s="77" t="s">
        <v>76</v>
      </c>
      <c r="B16" s="189" t="s">
        <v>78</v>
      </c>
      <c r="F16" s="47"/>
    </row>
    <row r="17" spans="1:3" ht="12.75">
      <c r="A17" s="77" t="s">
        <v>94</v>
      </c>
      <c r="B17" s="160">
        <v>10000000</v>
      </c>
      <c r="C17" s="90"/>
    </row>
    <row r="18" spans="1:3" ht="12.75">
      <c r="A18" s="77" t="s">
        <v>93</v>
      </c>
      <c r="B18" s="160">
        <v>3200000000</v>
      </c>
      <c r="C18" s="90"/>
    </row>
    <row r="19" spans="1:5" ht="12.75">
      <c r="A19" s="77" t="s">
        <v>91</v>
      </c>
      <c r="B19" s="82">
        <v>325</v>
      </c>
      <c r="C19" s="48"/>
      <c r="D19" s="90"/>
      <c r="E19" s="48"/>
    </row>
    <row r="20" spans="1:6" ht="12.75">
      <c r="A20" s="77" t="s">
        <v>85</v>
      </c>
      <c r="B20" s="160" t="s">
        <v>71</v>
      </c>
      <c r="C20" s="48"/>
      <c r="D20" s="57"/>
      <c r="E20" s="90"/>
      <c r="F20" s="47"/>
    </row>
    <row r="21" spans="1:6" ht="12.75">
      <c r="A21" s="77" t="s">
        <v>77</v>
      </c>
      <c r="B21" s="91">
        <v>0.0005</v>
      </c>
      <c r="C21" s="48"/>
      <c r="D21" s="57"/>
      <c r="E21" s="90"/>
      <c r="F21" s="47"/>
    </row>
    <row r="22" spans="1:6" ht="12.75">
      <c r="A22" s="77" t="s">
        <v>79</v>
      </c>
      <c r="B22" s="91">
        <v>0.002</v>
      </c>
      <c r="C22" s="48"/>
      <c r="D22" s="57"/>
      <c r="E22" s="90"/>
      <c r="F22" s="47"/>
    </row>
    <row r="23" spans="1:5" ht="13.5" thickBot="1">
      <c r="A23" s="47"/>
      <c r="E23" s="47"/>
    </row>
    <row r="24" spans="1:8" ht="12.75">
      <c r="A24" s="238" t="s">
        <v>92</v>
      </c>
      <c r="B24" s="236" t="s">
        <v>133</v>
      </c>
      <c r="C24" s="237"/>
      <c r="F24" s="47"/>
      <c r="G24" s="47"/>
      <c r="H24" s="47"/>
    </row>
    <row r="25" spans="1:6" ht="13.5" thickBot="1">
      <c r="A25" s="239"/>
      <c r="B25" s="94" t="s">
        <v>80</v>
      </c>
      <c r="C25" s="95" t="s">
        <v>81</v>
      </c>
      <c r="F25" s="47"/>
    </row>
    <row r="26" spans="1:6" ht="12.75">
      <c r="A26" s="92">
        <v>0.5</v>
      </c>
      <c r="B26" s="86">
        <f>10000000*(B21/2)</f>
        <v>2500</v>
      </c>
      <c r="C26" s="87">
        <f>3200000000*(B22/2+20/10000/2)</f>
        <v>6400000</v>
      </c>
      <c r="F26" s="33"/>
    </row>
    <row r="27" spans="1:6" ht="12.75">
      <c r="A27" s="92">
        <v>1</v>
      </c>
      <c r="B27" s="86"/>
      <c r="C27" s="111">
        <f>3200000000*(0.002/2)</f>
        <v>3200000</v>
      </c>
      <c r="F27" s="33"/>
    </row>
    <row r="28" spans="1:6" ht="12.75">
      <c r="A28" s="92">
        <v>1.5</v>
      </c>
      <c r="B28" s="86"/>
      <c r="C28" s="111">
        <f>3200000000*(0.002/2)</f>
        <v>3200000</v>
      </c>
      <c r="F28" s="33"/>
    </row>
    <row r="29" spans="1:6" ht="12.75">
      <c r="A29" s="92">
        <v>2</v>
      </c>
      <c r="B29" s="86"/>
      <c r="C29" s="111">
        <f>3200000000*(0.002/2)</f>
        <v>3200000</v>
      </c>
      <c r="F29" s="33"/>
    </row>
    <row r="30" spans="1:6" ht="12.75">
      <c r="A30" s="92">
        <v>2.5</v>
      </c>
      <c r="B30" s="86"/>
      <c r="C30" s="111">
        <f>3200000000*(0.002/2)</f>
        <v>3200000</v>
      </c>
      <c r="F30" s="33"/>
    </row>
    <row r="31" spans="1:6" ht="13.5" thickBot="1">
      <c r="A31" s="93">
        <v>3</v>
      </c>
      <c r="B31" s="88"/>
      <c r="C31" s="112">
        <f>3200000000*(0.002/2)</f>
        <v>3200000</v>
      </c>
      <c r="F31" s="33"/>
    </row>
    <row r="32" ht="12.75">
      <c r="H32" s="33"/>
    </row>
  </sheetData>
  <sheetProtection/>
  <mergeCells count="2">
    <mergeCell ref="B24:C24"/>
    <mergeCell ref="A24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 András</dc:creator>
  <cp:keywords/>
  <dc:description/>
  <cp:lastModifiedBy>Balogh András</cp:lastModifiedBy>
  <dcterms:created xsi:type="dcterms:W3CDTF">2018-11-20T12:41:07Z</dcterms:created>
  <dcterms:modified xsi:type="dcterms:W3CDTF">2019-06-06T11:49:04Z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Owner">
    <vt:lpwstr>balogha@mnb.hu</vt:lpwstr>
  </property>
  <property fmtid="{D5CDD505-2E9C-101B-9397-08002B2CF9AE}" pid="5" name="MSIP_Label_b0d11092-50c9-4e74-84b5-b1af078dc3d0_SetDate">
    <vt:lpwstr>2018-11-20T12:41:32.5543203Z</vt:lpwstr>
  </property>
  <property fmtid="{D5CDD505-2E9C-101B-9397-08002B2CF9AE}" pid="6" name="MSIP_Label_b0d11092-50c9-4e74-84b5-b1af078dc3d0_Name">
    <vt:lpwstr>Protected</vt:lpwstr>
  </property>
  <property fmtid="{D5CDD505-2E9C-101B-9397-08002B2CF9AE}" pid="7" name="MSIP_Label_b0d11092-50c9-4e74-84b5-b1af078dc3d0_Application">
    <vt:lpwstr>Microsoft Azure Information Protection</vt:lpwstr>
  </property>
  <property fmtid="{D5CDD505-2E9C-101B-9397-08002B2CF9AE}" pid="8" name="MSIP_Label_b0d11092-50c9-4e74-84b5-b1af078dc3d0_Extended_MSFT_Method">
    <vt:lpwstr>Automatic</vt:lpwstr>
  </property>
  <property fmtid="{D5CDD505-2E9C-101B-9397-08002B2CF9AE}" pid="9" name="Sensitivity">
    <vt:lpwstr>Protected</vt:lpwstr>
  </property>
</Properties>
</file>