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60" windowWidth="15480" windowHeight="6420" tabRatio="453" activeTab="0"/>
  </bookViews>
  <sheets>
    <sheet name="volumen" sheetId="1" r:id="rId1"/>
    <sheet name="érték" sheetId="2" r:id="rId2"/>
  </sheets>
  <definedNames>
    <definedName name="_xlnm.Print_Area" localSheetId="1">'érték'!$A$1:$M$46</definedName>
    <definedName name="_xlnm.Print_Area" localSheetId="0">'volumen'!$A$1:$M$46</definedName>
  </definedNames>
  <calcPr fullCalcOnLoad="1"/>
</workbook>
</file>

<file path=xl/sharedStrings.xml><?xml version="1.0" encoding="utf-8"?>
<sst xmlns="http://schemas.openxmlformats.org/spreadsheetml/2006/main" count="132" uniqueCount="54">
  <si>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</si>
  <si>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</si>
  <si>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</si>
  <si>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</si>
  <si>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</si>
  <si>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</si>
  <si>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</si>
  <si>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</si>
  <si>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</si>
  <si>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</si>
  <si>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</si>
  <si>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</si>
  <si>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</si>
  <si>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</si>
  <si>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</si>
  <si>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</si>
  <si>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</si>
  <si>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</si>
  <si>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</si>
  <si>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</si>
  <si>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</si>
  <si>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</si>
  <si>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</si>
  <si>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</si>
  <si>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</si>
  <si>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</si>
  <si>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</si>
  <si>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</si>
  <si>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</si>
  <si>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</si>
  <si>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</si>
  <si>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</si>
  <si>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</si>
  <si>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</si>
  <si>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</si>
  <si>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</si>
  <si>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</si>
  <si>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</si>
  <si>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</si>
  <si>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</si>
  <si>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</si>
  <si>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</si>
  <si>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</si>
  <si>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</si>
  <si>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</si>
  <si>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</si>
  <si>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</si>
  <si>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</si>
  <si>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</si>
  <si>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</si>
  <si>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 - MNB kötvény</t>
  </si>
  <si>
    <t xml:space="preserve">                             - MNB kötvény</t>
  </si>
  <si>
    <t>2011.</t>
  </si>
  <si>
    <t xml:space="preserve">                            -  egyéb tételek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</si>
</sst>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_-* #,##0.0000\ _F_t_-;\-* #,##0.0000\ _F_t_-;_-* &quot;-&quot;??\ _F_t_-;_-@_-"/>
    <numFmt numFmtId="167" formatCode="0.0%"/>
    <numFmt numFmtId="168" formatCode="_-* #,##0.0000\ _F_t_-;\-* #,##0.0000\ _F_t_-;_-* &quot;-&quot;????\ _F_t_-;_-@_-"/>
  </numFmts>
  <fonts count="49">
    <font>
      <sz val="10"/>
      <color indexed="12"/>
      <name val="Arial"/>
      <family val="0"/>
    </font>
    <font>
      <sz val="10"/>
      <color indexed="8"/>
      <name val="Trebuchet MS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3" fontId="7" fillId="0" borderId="10" xfId="42" applyFont="1" applyFill="1" applyBorder="1" applyAlignment="1">
      <alignment horizontal="left"/>
    </xf>
    <xf numFmtId="164" fontId="11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left" indent="2"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 horizontal="left" indent="2"/>
    </xf>
    <xf numFmtId="164" fontId="2" fillId="0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8" fillId="0" borderId="0" xfId="42" applyNumberFormat="1" applyFont="1" applyFill="1" applyBorder="1" applyAlignment="1">
      <alignment horizontal="center"/>
    </xf>
    <xf numFmtId="49" fontId="8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42" applyFont="1" applyFill="1" applyBorder="1" applyAlignment="1">
      <alignment/>
    </xf>
    <xf numFmtId="43" fontId="2" fillId="0" borderId="0" xfId="42" applyFont="1" applyFill="1" applyBorder="1" applyAlignment="1">
      <alignment/>
    </xf>
    <xf numFmtId="164" fontId="3" fillId="0" borderId="0" xfId="42" applyNumberFormat="1" applyFont="1" applyFill="1" applyBorder="1" applyAlignment="1">
      <alignment horizontal="center"/>
    </xf>
    <xf numFmtId="43" fontId="9" fillId="0" borderId="0" xfId="42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 horizontal="left" indent="2"/>
    </xf>
    <xf numFmtId="164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6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5" fontId="11" fillId="0" borderId="0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42" applyNumberFormat="1" applyFont="1" applyFill="1" applyBorder="1" applyAlignment="1">
      <alignment horizontal="center"/>
    </xf>
    <xf numFmtId="164" fontId="4" fillId="0" borderId="10" xfId="42" applyNumberFormat="1" applyFont="1" applyFill="1" applyBorder="1" applyAlignment="1">
      <alignment horizontal="left" indent="2"/>
    </xf>
    <xf numFmtId="164" fontId="4" fillId="0" borderId="10" xfId="42" applyNumberFormat="1" applyFont="1" applyFill="1" applyBorder="1" applyAlignment="1">
      <alignment/>
    </xf>
    <xf numFmtId="43" fontId="4" fillId="0" borderId="10" xfId="42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/>
    </xf>
    <xf numFmtId="43" fontId="6" fillId="0" borderId="10" xfId="42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 horizontal="left" indent="2"/>
    </xf>
    <xf numFmtId="49" fontId="6" fillId="0" borderId="10" xfId="42" applyNumberFormat="1" applyFont="1" applyFill="1" applyBorder="1" applyAlignment="1">
      <alignment horizontal="left"/>
    </xf>
    <xf numFmtId="43" fontId="9" fillId="0" borderId="10" xfId="42" applyFont="1" applyFill="1" applyBorder="1" applyAlignment="1">
      <alignment horizontal="left"/>
    </xf>
    <xf numFmtId="43" fontId="4" fillId="0" borderId="10" xfId="42" applyFont="1" applyFill="1" applyBorder="1" applyAlignment="1">
      <alignment/>
    </xf>
    <xf numFmtId="43" fontId="7" fillId="0" borderId="10" xfId="42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42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left"/>
    </xf>
    <xf numFmtId="164" fontId="4" fillId="0" borderId="10" xfId="42" applyNumberFormat="1" applyFont="1" applyFill="1" applyBorder="1" applyAlignment="1">
      <alignment/>
    </xf>
    <xf numFmtId="43" fontId="6" fillId="0" borderId="10" xfId="42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/>
    </xf>
    <xf numFmtId="43" fontId="9" fillId="0" borderId="1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/>
    </xf>
    <xf numFmtId="0" fontId="48" fillId="0" borderId="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167" fontId="4" fillId="0" borderId="0" xfId="42" applyNumberFormat="1" applyFont="1" applyFill="1" applyBorder="1" applyAlignment="1">
      <alignment horizontal="left" indent="2"/>
    </xf>
    <xf numFmtId="167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8" fillId="0" borderId="10" xfId="42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3" fontId="7" fillId="0" borderId="10" xfId="42" applyFont="1" applyFill="1" applyBorder="1" applyAlignment="1">
      <alignment horizontal="left"/>
    </xf>
    <xf numFmtId="164" fontId="8" fillId="0" borderId="10" xfId="42" applyNumberFormat="1" applyFont="1" applyFill="1" applyBorder="1" applyAlignment="1">
      <alignment horizontal="center"/>
    </xf>
    <xf numFmtId="49" fontId="8" fillId="0" borderId="10" xfId="42" applyNumberFormat="1" applyFont="1" applyFill="1" applyBorder="1" applyAlignment="1">
      <alignment horizontal="center"/>
    </xf>
    <xf numFmtId="49" fontId="8" fillId="0" borderId="10" xfId="42" applyNumberFormat="1" applyFont="1" applyFill="1" applyBorder="1" applyAlignment="1">
      <alignment horizontal="center"/>
    </xf>
    <xf numFmtId="164" fontId="3" fillId="34" borderId="0" xfId="42" applyNumberFormat="1" applyFont="1" applyFill="1" applyBorder="1" applyAlignment="1">
      <alignment horizontal="center"/>
    </xf>
    <xf numFmtId="43" fontId="8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0.8515625" style="14" customWidth="1"/>
    <col min="2" max="3" width="17.140625" style="14" bestFit="1" customWidth="1"/>
    <col min="4" max="4" width="16.421875" style="14" bestFit="1" customWidth="1"/>
    <col min="5" max="5" width="17.140625" style="14" bestFit="1" customWidth="1"/>
    <col min="6" max="6" width="15.00390625" style="14" customWidth="1"/>
    <col min="7" max="7" width="15.140625" style="14" bestFit="1" customWidth="1"/>
    <col min="8" max="8" width="15.57421875" style="14" bestFit="1" customWidth="1"/>
    <col min="9" max="9" width="18.140625" style="14" customWidth="1"/>
    <col min="10" max="10" width="19.8515625" style="8" customWidth="1"/>
    <col min="11" max="12" width="15.140625" style="8" bestFit="1" customWidth="1"/>
    <col min="13" max="13" width="15.57421875" style="14" bestFit="1" customWidth="1"/>
    <col min="14" max="18" width="23.57421875" style="14" customWidth="1"/>
    <col min="19" max="19" width="16.57421875" style="14" customWidth="1"/>
    <col min="20" max="20" width="14.7109375" style="14" customWidth="1"/>
    <col min="21" max="21" width="13.140625" style="14" bestFit="1" customWidth="1"/>
    <col min="22" max="22" width="16.421875" style="14" bestFit="1" customWidth="1"/>
    <col min="23" max="24" width="14.28125" style="14" bestFit="1" customWidth="1"/>
    <col min="25" max="16384" width="9.140625" style="14" customWidth="1"/>
  </cols>
  <sheetData>
    <row r="1" spans="1:19" ht="23.25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9"/>
      <c r="O1" s="29"/>
      <c r="P1" s="29"/>
      <c r="Q1" s="29"/>
      <c r="R1" s="29"/>
      <c r="S1" s="29"/>
    </row>
    <row r="2" spans="1:19" s="35" customFormat="1" ht="18" customHeight="1">
      <c r="A2" s="30"/>
      <c r="B2" s="31"/>
      <c r="C2" s="31"/>
      <c r="D2" s="31"/>
      <c r="E2" s="2"/>
      <c r="F2" s="2"/>
      <c r="G2" s="2"/>
      <c r="H2" s="31"/>
      <c r="I2" s="31"/>
      <c r="J2" s="32"/>
      <c r="K2" s="33"/>
      <c r="L2" s="33"/>
      <c r="M2" s="34"/>
      <c r="N2" s="28"/>
      <c r="O2" s="28"/>
      <c r="P2" s="28"/>
      <c r="Q2" s="28"/>
      <c r="R2" s="28"/>
      <c r="S2" s="28"/>
    </row>
    <row r="3" spans="1:13" ht="16.5" customHeight="1">
      <c r="A3" s="85"/>
      <c r="B3" s="84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16.5" customHeight="1">
      <c r="A4" s="86"/>
      <c r="B4" s="83" t="s">
        <v>52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T4" s="11"/>
    </row>
    <row r="5" spans="1:14" ht="16.5" customHeight="1">
      <c r="A5" s="86"/>
      <c r="B5" s="67" t="s">
        <v>4</v>
      </c>
      <c r="C5" s="67" t="s">
        <v>5</v>
      </c>
      <c r="D5" s="67" t="s">
        <v>6</v>
      </c>
      <c r="E5" s="67" t="s">
        <v>7</v>
      </c>
      <c r="F5" s="68" t="s">
        <v>8</v>
      </c>
      <c r="G5" s="67" t="s">
        <v>9</v>
      </c>
      <c r="H5" s="67" t="s">
        <v>10</v>
      </c>
      <c r="I5" s="67" t="s">
        <v>24</v>
      </c>
      <c r="J5" s="62" t="s">
        <v>0</v>
      </c>
      <c r="K5" s="68" t="s">
        <v>1</v>
      </c>
      <c r="L5" s="61" t="s">
        <v>2</v>
      </c>
      <c r="M5" s="67" t="s">
        <v>3</v>
      </c>
      <c r="N5" s="11"/>
    </row>
    <row r="6" spans="1:22" s="36" customFormat="1" ht="16.5" customHeight="1">
      <c r="A6" s="69" t="s">
        <v>11</v>
      </c>
      <c r="B6" s="70">
        <v>17885493</v>
      </c>
      <c r="C6" s="70">
        <v>18200023</v>
      </c>
      <c r="D6" s="70">
        <v>20639746</v>
      </c>
      <c r="E6" s="70">
        <f>SUM(E7:E13)</f>
        <v>19716097</v>
      </c>
      <c r="F6" s="70">
        <f>SUM(F7:F13)</f>
        <v>20305238</v>
      </c>
      <c r="G6" s="70">
        <v>20293516</v>
      </c>
      <c r="H6" s="70">
        <f>SUM(H7:H13)</f>
        <v>19912298</v>
      </c>
      <c r="I6" s="70">
        <f>SUM(I7:I13)</f>
        <v>19678393</v>
      </c>
      <c r="J6" s="70">
        <f>SUM(J7:J13)</f>
        <v>19852675</v>
      </c>
      <c r="K6" s="70">
        <f>SUM(K7:K13)</f>
        <v>19772366</v>
      </c>
      <c r="L6" s="70">
        <f>SUM(L7:L13)</f>
        <v>21356351</v>
      </c>
      <c r="M6" s="70">
        <f>SUM(M7:M13)</f>
        <v>21675101</v>
      </c>
      <c r="N6" s="28"/>
      <c r="O6" s="79"/>
      <c r="P6" s="28"/>
      <c r="Q6" s="28"/>
      <c r="R6" s="28"/>
      <c r="S6" s="28"/>
      <c r="V6" s="37"/>
    </row>
    <row r="7" spans="1:22" ht="16.5" customHeight="1">
      <c r="A7" s="71" t="s">
        <v>12</v>
      </c>
      <c r="B7" s="60">
        <v>10106657</v>
      </c>
      <c r="C7" s="60">
        <v>10282085</v>
      </c>
      <c r="D7" s="60">
        <v>12041996</v>
      </c>
      <c r="E7" s="60">
        <v>11159479</v>
      </c>
      <c r="F7" s="60">
        <v>11901433</v>
      </c>
      <c r="G7" s="60">
        <v>11665730</v>
      </c>
      <c r="H7" s="60">
        <v>11590248</v>
      </c>
      <c r="I7" s="60">
        <f>11546098+1229+138</f>
        <v>11547465</v>
      </c>
      <c r="J7" s="13">
        <v>11544214</v>
      </c>
      <c r="K7" s="13">
        <f>11312765+1297+106</f>
        <v>11314168</v>
      </c>
      <c r="L7" s="13">
        <f>11876816+683+109</f>
        <v>11877608</v>
      </c>
      <c r="M7" s="13">
        <f>12568086+2047+89</f>
        <v>12570222</v>
      </c>
      <c r="N7" s="28"/>
      <c r="O7" s="28"/>
      <c r="P7" s="28"/>
      <c r="Q7" s="28"/>
      <c r="R7" s="28"/>
      <c r="S7" s="28"/>
      <c r="T7" s="16"/>
      <c r="U7" s="17"/>
      <c r="V7" s="17"/>
    </row>
    <row r="8" spans="1:22" ht="16.5" customHeight="1">
      <c r="A8" s="71" t="s">
        <v>13</v>
      </c>
      <c r="B8" s="60">
        <v>21</v>
      </c>
      <c r="C8" s="60">
        <v>20</v>
      </c>
      <c r="D8" s="60">
        <v>20</v>
      </c>
      <c r="E8" s="60">
        <v>21</v>
      </c>
      <c r="F8" s="60">
        <v>22</v>
      </c>
      <c r="G8" s="60">
        <v>24</v>
      </c>
      <c r="H8" s="60">
        <v>21</v>
      </c>
      <c r="I8" s="60">
        <f>23</f>
        <v>23</v>
      </c>
      <c r="J8" s="13">
        <v>25</v>
      </c>
      <c r="K8" s="13">
        <f>21</f>
        <v>21</v>
      </c>
      <c r="L8" s="13">
        <f>23</f>
        <v>23</v>
      </c>
      <c r="M8" s="13">
        <f>24</f>
        <v>24</v>
      </c>
      <c r="N8" s="28"/>
      <c r="O8" s="28"/>
      <c r="P8" s="28"/>
      <c r="Q8" s="28"/>
      <c r="R8" s="28"/>
      <c r="S8" s="28"/>
      <c r="T8" s="16"/>
      <c r="U8" s="18"/>
      <c r="V8" s="18"/>
    </row>
    <row r="9" spans="1:22" ht="16.5" customHeight="1">
      <c r="A9" s="71" t="s">
        <v>14</v>
      </c>
      <c r="B9" s="60">
        <v>4192320</v>
      </c>
      <c r="C9" s="60">
        <v>4609102</v>
      </c>
      <c r="D9" s="60">
        <v>5008266</v>
      </c>
      <c r="E9" s="60">
        <v>4887227</v>
      </c>
      <c r="F9" s="60">
        <v>4894289</v>
      </c>
      <c r="G9" s="60">
        <v>4953719</v>
      </c>
      <c r="H9" s="60">
        <v>4723931</v>
      </c>
      <c r="I9" s="60">
        <f>4782621</f>
        <v>4782621</v>
      </c>
      <c r="J9" s="13">
        <v>4865524</v>
      </c>
      <c r="K9" s="13">
        <f>4976839</f>
        <v>4976839</v>
      </c>
      <c r="L9" s="13">
        <f>6112868</f>
        <v>6112868</v>
      </c>
      <c r="M9" s="13">
        <f>5745502</f>
        <v>5745502</v>
      </c>
      <c r="N9" s="28"/>
      <c r="O9" s="28"/>
      <c r="P9" s="28"/>
      <c r="Q9" s="28"/>
      <c r="R9" s="28"/>
      <c r="S9" s="28"/>
      <c r="T9" s="16"/>
      <c r="U9" s="18"/>
      <c r="V9" s="18"/>
    </row>
    <row r="10" spans="1:22" ht="16.5" customHeight="1">
      <c r="A10" s="71" t="s">
        <v>15</v>
      </c>
      <c r="B10" s="60">
        <v>2941981</v>
      </c>
      <c r="C10" s="60">
        <v>2531512</v>
      </c>
      <c r="D10" s="60">
        <v>3420400</v>
      </c>
      <c r="E10" s="60">
        <v>2771083</v>
      </c>
      <c r="F10" s="60">
        <v>2624303</v>
      </c>
      <c r="G10" s="60">
        <v>2572824</v>
      </c>
      <c r="H10" s="60">
        <v>2876682</v>
      </c>
      <c r="I10" s="60">
        <f>2648244</f>
        <v>2648244</v>
      </c>
      <c r="J10" s="13">
        <v>2630124</v>
      </c>
      <c r="K10" s="13">
        <f>2810369</f>
        <v>2810369</v>
      </c>
      <c r="L10" s="13">
        <f>2636068</f>
        <v>2636068</v>
      </c>
      <c r="M10" s="13">
        <f>2636583</f>
        <v>2636583</v>
      </c>
      <c r="N10" s="28"/>
      <c r="O10" s="28"/>
      <c r="P10" s="28"/>
      <c r="Q10" s="28"/>
      <c r="R10" s="28"/>
      <c r="S10" s="28"/>
      <c r="T10" s="16"/>
      <c r="U10" s="18"/>
      <c r="V10" s="18"/>
    </row>
    <row r="11" spans="1:22" ht="16.5" customHeight="1">
      <c r="A11" s="71" t="s">
        <v>16</v>
      </c>
      <c r="B11" s="13">
        <v>628768</v>
      </c>
      <c r="C11" s="13">
        <v>762139</v>
      </c>
      <c r="D11" s="13">
        <v>149221</v>
      </c>
      <c r="E11" s="13">
        <v>111154</v>
      </c>
      <c r="F11" s="13">
        <v>124673</v>
      </c>
      <c r="G11" s="13">
        <v>105687</v>
      </c>
      <c r="H11" s="13">
        <v>96812</v>
      </c>
      <c r="I11" s="13">
        <f>95712+14</f>
        <v>95726</v>
      </c>
      <c r="J11" s="13">
        <v>148811</v>
      </c>
      <c r="K11" s="13">
        <f>137673+32</f>
        <v>137705</v>
      </c>
      <c r="L11" s="13">
        <f>123399+50</f>
        <v>123449</v>
      </c>
      <c r="M11" s="13">
        <f>82341+27</f>
        <v>82368</v>
      </c>
      <c r="N11" s="28"/>
      <c r="O11" s="28"/>
      <c r="P11" s="28"/>
      <c r="Q11" s="28"/>
      <c r="R11" s="28"/>
      <c r="S11" s="28"/>
      <c r="T11" s="16"/>
      <c r="U11" s="18"/>
      <c r="V11" s="18"/>
    </row>
    <row r="12" spans="1:22" ht="16.5" customHeight="1">
      <c r="A12" s="71" t="s">
        <v>17</v>
      </c>
      <c r="B12" s="60">
        <v>15746</v>
      </c>
      <c r="C12" s="60">
        <v>15165</v>
      </c>
      <c r="D12" s="60">
        <v>19843</v>
      </c>
      <c r="E12" s="60">
        <v>17307</v>
      </c>
      <c r="F12" s="60">
        <v>21609</v>
      </c>
      <c r="G12" s="60">
        <v>23908</v>
      </c>
      <c r="H12" s="60">
        <v>18858</v>
      </c>
      <c r="I12" s="60">
        <f>21099</f>
        <v>21099</v>
      </c>
      <c r="J12" s="13">
        <v>19136</v>
      </c>
      <c r="K12" s="13">
        <f>18497</f>
        <v>18497</v>
      </c>
      <c r="L12" s="13">
        <f>20045</f>
        <v>20045</v>
      </c>
      <c r="M12" s="13">
        <f>20932</f>
        <v>20932</v>
      </c>
      <c r="N12" s="28"/>
      <c r="O12" s="28"/>
      <c r="P12" s="28"/>
      <c r="Q12" s="28"/>
      <c r="R12" s="28"/>
      <c r="S12" s="28"/>
      <c r="T12" s="16"/>
      <c r="U12" s="18"/>
      <c r="V12" s="18"/>
    </row>
    <row r="13" spans="1:22" ht="16.5" customHeight="1">
      <c r="A13" s="71" t="s">
        <v>48</v>
      </c>
      <c r="B13" s="60">
        <v>552713</v>
      </c>
      <c r="C13" s="60">
        <v>665964</v>
      </c>
      <c r="D13" s="60">
        <v>796749</v>
      </c>
      <c r="E13" s="60">
        <v>769826</v>
      </c>
      <c r="F13" s="60">
        <v>738909</v>
      </c>
      <c r="G13" s="60">
        <v>971624</v>
      </c>
      <c r="H13" s="60">
        <v>605746</v>
      </c>
      <c r="I13" s="60">
        <f>583215</f>
        <v>583215</v>
      </c>
      <c r="J13" s="13">
        <v>644841</v>
      </c>
      <c r="K13" s="13">
        <f>514767</f>
        <v>514767</v>
      </c>
      <c r="L13" s="13">
        <f>586290</f>
        <v>586290</v>
      </c>
      <c r="M13" s="13">
        <f>619470</f>
        <v>619470</v>
      </c>
      <c r="N13" s="28"/>
      <c r="O13" s="28"/>
      <c r="P13" s="28"/>
      <c r="Q13" s="28"/>
      <c r="R13" s="28"/>
      <c r="S13" s="28"/>
      <c r="T13" s="16"/>
      <c r="U13" s="18"/>
      <c r="V13" s="18"/>
    </row>
    <row r="14" spans="1:22" ht="16.5" customHeight="1">
      <c r="A14" s="69" t="s">
        <v>18</v>
      </c>
      <c r="B14" s="61">
        <f aca="true" t="shared" si="0" ref="B14:M14">B15+B21</f>
        <v>122382</v>
      </c>
      <c r="C14" s="61">
        <f t="shared" si="0"/>
        <v>123188</v>
      </c>
      <c r="D14" s="61">
        <f t="shared" si="0"/>
        <v>135305</v>
      </c>
      <c r="E14" s="61">
        <f t="shared" si="0"/>
        <v>124204</v>
      </c>
      <c r="F14" s="61">
        <f t="shared" si="0"/>
        <v>132345</v>
      </c>
      <c r="G14" s="61">
        <f t="shared" si="0"/>
        <v>132024</v>
      </c>
      <c r="H14" s="61">
        <f t="shared" si="0"/>
        <v>136559</v>
      </c>
      <c r="I14" s="61">
        <f t="shared" si="0"/>
        <v>148828</v>
      </c>
      <c r="J14" s="61">
        <f t="shared" si="0"/>
        <v>157840</v>
      </c>
      <c r="K14" s="61">
        <f t="shared" si="0"/>
        <v>141604</v>
      </c>
      <c r="L14" s="61">
        <f t="shared" si="0"/>
        <v>159854</v>
      </c>
      <c r="M14" s="61">
        <f t="shared" si="0"/>
        <v>152565</v>
      </c>
      <c r="N14" s="28"/>
      <c r="O14" s="28"/>
      <c r="P14" s="28"/>
      <c r="Q14" s="28"/>
      <c r="R14" s="28"/>
      <c r="S14" s="28"/>
      <c r="T14" s="28"/>
      <c r="U14" s="18"/>
      <c r="V14" s="18"/>
    </row>
    <row r="15" spans="1:24" s="36" customFormat="1" ht="16.5" customHeight="1">
      <c r="A15" s="69" t="s">
        <v>26</v>
      </c>
      <c r="B15" s="61">
        <v>95952</v>
      </c>
      <c r="C15" s="61">
        <v>96075</v>
      </c>
      <c r="D15" s="61">
        <v>104050</v>
      </c>
      <c r="E15" s="61">
        <v>92291</v>
      </c>
      <c r="F15" s="61">
        <v>100009</v>
      </c>
      <c r="G15" s="61">
        <v>100390</v>
      </c>
      <c r="H15" s="61">
        <v>105167</v>
      </c>
      <c r="I15" s="61">
        <v>118327</v>
      </c>
      <c r="J15" s="61">
        <v>125070</v>
      </c>
      <c r="K15" s="61">
        <v>109468</v>
      </c>
      <c r="L15" s="61">
        <v>126713</v>
      </c>
      <c r="M15" s="61">
        <v>119213</v>
      </c>
      <c r="N15" s="28"/>
      <c r="O15" s="28"/>
      <c r="P15" s="28"/>
      <c r="Q15" s="28"/>
      <c r="R15" s="28"/>
      <c r="S15" s="28"/>
      <c r="T15" s="28"/>
      <c r="U15" s="18"/>
      <c r="V15" s="18"/>
      <c r="W15" s="3"/>
      <c r="X15" s="3"/>
    </row>
    <row r="16" spans="1:22" ht="16.5" customHeight="1">
      <c r="A16" s="71" t="s">
        <v>38</v>
      </c>
      <c r="B16" s="13">
        <v>45946</v>
      </c>
      <c r="C16" s="13">
        <v>46120</v>
      </c>
      <c r="D16" s="13">
        <v>52765</v>
      </c>
      <c r="E16" s="13">
        <v>44157</v>
      </c>
      <c r="F16" s="13">
        <v>50055</v>
      </c>
      <c r="G16" s="13">
        <v>49148</v>
      </c>
      <c r="H16" s="13">
        <v>51727</v>
      </c>
      <c r="I16" s="13">
        <v>54429</v>
      </c>
      <c r="J16" s="13">
        <v>59297</v>
      </c>
      <c r="K16" s="72">
        <v>49393</v>
      </c>
      <c r="L16" s="13">
        <v>56443</v>
      </c>
      <c r="M16" s="13">
        <v>51932</v>
      </c>
      <c r="N16" s="28"/>
      <c r="O16" s="28"/>
      <c r="P16" s="28"/>
      <c r="Q16" s="28"/>
      <c r="R16" s="28"/>
      <c r="S16" s="38"/>
      <c r="T16" s="39"/>
      <c r="U16" s="40"/>
      <c r="V16" s="8"/>
    </row>
    <row r="17" spans="1:22" ht="16.5" customHeight="1">
      <c r="A17" s="71" t="s">
        <v>35</v>
      </c>
      <c r="B17" s="13">
        <v>14613</v>
      </c>
      <c r="C17" s="13">
        <v>16593</v>
      </c>
      <c r="D17" s="13">
        <v>18186</v>
      </c>
      <c r="E17" s="13">
        <v>16595</v>
      </c>
      <c r="F17" s="13">
        <v>15974</v>
      </c>
      <c r="G17" s="13">
        <v>15802</v>
      </c>
      <c r="H17" s="13">
        <v>16214</v>
      </c>
      <c r="I17" s="13">
        <v>20429</v>
      </c>
      <c r="J17" s="13">
        <v>20970</v>
      </c>
      <c r="K17" s="72">
        <v>16602</v>
      </c>
      <c r="L17" s="13">
        <v>19932</v>
      </c>
      <c r="M17" s="13">
        <v>14815</v>
      </c>
      <c r="N17" s="28"/>
      <c r="O17" s="28"/>
      <c r="P17" s="28"/>
      <c r="Q17" s="80"/>
      <c r="R17" s="28"/>
      <c r="S17" s="28"/>
      <c r="U17" s="40"/>
      <c r="V17" s="41"/>
    </row>
    <row r="18" spans="1:21" ht="16.5" customHeight="1">
      <c r="A18" s="71" t="s">
        <v>36</v>
      </c>
      <c r="B18" s="13">
        <v>32387</v>
      </c>
      <c r="C18" s="13">
        <v>30247</v>
      </c>
      <c r="D18" s="13">
        <v>29848</v>
      </c>
      <c r="E18" s="13">
        <v>28596</v>
      </c>
      <c r="F18" s="13">
        <v>30748</v>
      </c>
      <c r="G18" s="13">
        <v>32143</v>
      </c>
      <c r="H18" s="13">
        <v>33601</v>
      </c>
      <c r="I18" s="13">
        <v>39152</v>
      </c>
      <c r="J18" s="13">
        <v>40689</v>
      </c>
      <c r="K18" s="72">
        <v>39794</v>
      </c>
      <c r="L18" s="13">
        <v>46249</v>
      </c>
      <c r="M18" s="13">
        <v>48094</v>
      </c>
      <c r="N18" s="28"/>
      <c r="O18" s="28"/>
      <c r="P18" s="28"/>
      <c r="Q18" s="28"/>
      <c r="R18" s="28"/>
      <c r="S18" s="28"/>
      <c r="T18" s="11"/>
      <c r="U18" s="8"/>
    </row>
    <row r="19" spans="1:19" ht="16.5" customHeight="1">
      <c r="A19" s="63" t="s">
        <v>50</v>
      </c>
      <c r="B19" s="13">
        <v>334</v>
      </c>
      <c r="C19" s="13">
        <v>350</v>
      </c>
      <c r="D19" s="13">
        <v>423</v>
      </c>
      <c r="E19" s="13">
        <v>342</v>
      </c>
      <c r="F19" s="13">
        <v>352</v>
      </c>
      <c r="G19" s="13">
        <v>439</v>
      </c>
      <c r="H19" s="13">
        <v>361</v>
      </c>
      <c r="I19" s="13">
        <v>453</v>
      </c>
      <c r="J19" s="13">
        <v>364</v>
      </c>
      <c r="K19" s="72">
        <v>369</v>
      </c>
      <c r="L19" s="13">
        <v>453</v>
      </c>
      <c r="M19" s="13">
        <v>348</v>
      </c>
      <c r="N19" s="28"/>
      <c r="O19" s="28"/>
      <c r="P19" s="28"/>
      <c r="Q19" s="28"/>
      <c r="R19" s="28"/>
      <c r="S19" s="28"/>
    </row>
    <row r="20" spans="1:20" ht="16.5" customHeight="1">
      <c r="A20" s="71" t="s">
        <v>37</v>
      </c>
      <c r="B20" s="13">
        <f>+B15-SUM(B16:B19)</f>
        <v>2672</v>
      </c>
      <c r="C20" s="13">
        <f aca="true" t="shared" si="1" ref="C20:I20">+C15-SUM(C16:C19)</f>
        <v>2765</v>
      </c>
      <c r="D20" s="13">
        <f t="shared" si="1"/>
        <v>2828</v>
      </c>
      <c r="E20" s="13">
        <f t="shared" si="1"/>
        <v>2601</v>
      </c>
      <c r="F20" s="13">
        <f t="shared" si="1"/>
        <v>2880</v>
      </c>
      <c r="G20" s="13">
        <f t="shared" si="1"/>
        <v>2858</v>
      </c>
      <c r="H20" s="13">
        <f t="shared" si="1"/>
        <v>3264</v>
      </c>
      <c r="I20" s="13">
        <f t="shared" si="1"/>
        <v>3864</v>
      </c>
      <c r="J20" s="13">
        <f>+J15-SUM(J16:J19)</f>
        <v>3750</v>
      </c>
      <c r="K20" s="13">
        <f>+K15-SUM(K16:K19)</f>
        <v>3310</v>
      </c>
      <c r="L20" s="13">
        <f>+L15-SUM(L16:L19)</f>
        <v>3636</v>
      </c>
      <c r="M20" s="13">
        <f>+M15-SUM(M16:M19)</f>
        <v>4024</v>
      </c>
      <c r="N20" s="28"/>
      <c r="O20" s="28"/>
      <c r="P20" s="28"/>
      <c r="Q20" s="28"/>
      <c r="R20" s="28"/>
      <c r="S20" s="28"/>
      <c r="T20" s="28"/>
    </row>
    <row r="21" spans="1:19" s="36" customFormat="1" ht="16.5" customHeight="1">
      <c r="A21" s="69" t="s">
        <v>25</v>
      </c>
      <c r="B21" s="61">
        <v>26430</v>
      </c>
      <c r="C21" s="61">
        <v>27113</v>
      </c>
      <c r="D21" s="61">
        <v>31255</v>
      </c>
      <c r="E21" s="61">
        <v>31913</v>
      </c>
      <c r="F21" s="61">
        <v>32336</v>
      </c>
      <c r="G21" s="61">
        <v>31634</v>
      </c>
      <c r="H21" s="61">
        <v>31392</v>
      </c>
      <c r="I21" s="61">
        <v>30501</v>
      </c>
      <c r="J21" s="61">
        <v>32770</v>
      </c>
      <c r="K21" s="61">
        <v>32136</v>
      </c>
      <c r="L21" s="61">
        <v>33141</v>
      </c>
      <c r="M21" s="13">
        <v>33352</v>
      </c>
      <c r="N21" s="42"/>
      <c r="O21" s="42"/>
      <c r="P21" s="42"/>
      <c r="Q21" s="42"/>
      <c r="R21" s="42"/>
      <c r="S21" s="42"/>
    </row>
    <row r="22" spans="1:22" ht="16.5" customHeight="1">
      <c r="A22" s="73" t="s">
        <v>47</v>
      </c>
      <c r="B22" s="61">
        <f aca="true" t="shared" si="2" ref="B22:M22">B14+B6</f>
        <v>18007875</v>
      </c>
      <c r="C22" s="61">
        <f t="shared" si="2"/>
        <v>18323211</v>
      </c>
      <c r="D22" s="61">
        <f t="shared" si="2"/>
        <v>20775051</v>
      </c>
      <c r="E22" s="61">
        <f t="shared" si="2"/>
        <v>19840301</v>
      </c>
      <c r="F22" s="61">
        <f>F14+F6</f>
        <v>20437583</v>
      </c>
      <c r="G22" s="61">
        <f t="shared" si="2"/>
        <v>20425540</v>
      </c>
      <c r="H22" s="61">
        <f t="shared" si="2"/>
        <v>20048857</v>
      </c>
      <c r="I22" s="61">
        <f t="shared" si="2"/>
        <v>19827221</v>
      </c>
      <c r="J22" s="61">
        <f t="shared" si="2"/>
        <v>20010515</v>
      </c>
      <c r="K22" s="61">
        <f t="shared" si="2"/>
        <v>19913970</v>
      </c>
      <c r="L22" s="61">
        <f t="shared" si="2"/>
        <v>21516205</v>
      </c>
      <c r="M22" s="61">
        <f t="shared" si="2"/>
        <v>21827666</v>
      </c>
      <c r="N22" s="28"/>
      <c r="O22" s="28"/>
      <c r="P22" s="28"/>
      <c r="Q22" s="28"/>
      <c r="R22" s="28"/>
      <c r="S22" s="28"/>
      <c r="T22" s="11"/>
      <c r="V22" s="11"/>
    </row>
    <row r="23" spans="1:19" s="26" customFormat="1" ht="16.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9"/>
      <c r="O23" s="29"/>
      <c r="P23" s="29"/>
      <c r="Q23" s="29"/>
      <c r="R23" s="29"/>
      <c r="S23" s="29"/>
    </row>
    <row r="24" spans="1:19" s="26" customFormat="1" ht="16.5" customHeight="1">
      <c r="A24" s="87"/>
      <c r="B24" s="83" t="s">
        <v>43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S24" s="51"/>
    </row>
    <row r="25" spans="1:13" s="26" customFormat="1" ht="16.5" customHeight="1">
      <c r="A25" s="87"/>
      <c r="B25" s="83" t="s">
        <v>52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5" customHeight="1">
      <c r="A26" s="87"/>
      <c r="B26" s="68" t="s">
        <v>4</v>
      </c>
      <c r="C26" s="68" t="s">
        <v>5</v>
      </c>
      <c r="D26" s="68" t="s">
        <v>6</v>
      </c>
      <c r="E26" s="68" t="s">
        <v>7</v>
      </c>
      <c r="F26" s="68" t="s">
        <v>8</v>
      </c>
      <c r="G26" s="68" t="s">
        <v>9</v>
      </c>
      <c r="H26" s="68" t="s">
        <v>10</v>
      </c>
      <c r="I26" s="68" t="s">
        <v>24</v>
      </c>
      <c r="J26" s="61" t="s">
        <v>0</v>
      </c>
      <c r="K26" s="68" t="s">
        <v>1</v>
      </c>
      <c r="L26" s="61" t="s">
        <v>2</v>
      </c>
      <c r="M26" s="74" t="s">
        <v>3</v>
      </c>
    </row>
    <row r="27" spans="1:13" ht="16.5" customHeight="1">
      <c r="A27" s="69" t="s">
        <v>11</v>
      </c>
      <c r="B27" s="75">
        <f aca="true" t="shared" si="3" ref="B27:J27">B6/B22*100</f>
        <v>99.3203973261698</v>
      </c>
      <c r="C27" s="75">
        <f t="shared" si="3"/>
        <v>99.3276942562087</v>
      </c>
      <c r="D27" s="75">
        <f t="shared" si="3"/>
        <v>99.34871399353003</v>
      </c>
      <c r="E27" s="75">
        <f t="shared" si="3"/>
        <v>99.37398127175591</v>
      </c>
      <c r="F27" s="75">
        <f t="shared" si="3"/>
        <v>99.35244299680642</v>
      </c>
      <c r="G27" s="75">
        <f t="shared" si="3"/>
        <v>99.35363275585371</v>
      </c>
      <c r="H27" s="75">
        <f t="shared" si="3"/>
        <v>99.31886890110493</v>
      </c>
      <c r="I27" s="75">
        <f t="shared" si="3"/>
        <v>99.24937539153873</v>
      </c>
      <c r="J27" s="75">
        <f t="shared" si="3"/>
        <v>99.21121470386944</v>
      </c>
      <c r="K27" s="75">
        <f>K6/K22*100</f>
        <v>99.28892129495023</v>
      </c>
      <c r="L27" s="75">
        <f>L6/L22*100</f>
        <v>99.25705299796131</v>
      </c>
      <c r="M27" s="75">
        <f>M6/M22*100</f>
        <v>99.3010475787929</v>
      </c>
    </row>
    <row r="28" spans="1:13" ht="16.5" customHeight="1">
      <c r="A28" s="71" t="s">
        <v>29</v>
      </c>
      <c r="B28" s="15">
        <f aca="true" t="shared" si="4" ref="B28:J28">B7/B6*100</f>
        <v>56.50756733403994</v>
      </c>
      <c r="C28" s="15">
        <f t="shared" si="4"/>
        <v>56.494901132817255</v>
      </c>
      <c r="D28" s="15">
        <f t="shared" si="4"/>
        <v>58.343721865569464</v>
      </c>
      <c r="E28" s="15">
        <f t="shared" si="4"/>
        <v>56.600852592680994</v>
      </c>
      <c r="F28" s="15">
        <f t="shared" si="4"/>
        <v>58.61262497883551</v>
      </c>
      <c r="G28" s="15">
        <f t="shared" si="4"/>
        <v>57.48501146868783</v>
      </c>
      <c r="H28" s="15">
        <f t="shared" si="4"/>
        <v>58.20648124088943</v>
      </c>
      <c r="I28" s="15">
        <f t="shared" si="4"/>
        <v>58.68093497268806</v>
      </c>
      <c r="J28" s="15">
        <f t="shared" si="4"/>
        <v>58.14941311435361</v>
      </c>
      <c r="K28" s="15">
        <f>K7/K6*100</f>
        <v>57.222125060804565</v>
      </c>
      <c r="L28" s="15">
        <f>L7/L6*100</f>
        <v>55.61628014074127</v>
      </c>
      <c r="M28" s="15">
        <f>M7/M6*100</f>
        <v>57.993833569679786</v>
      </c>
    </row>
    <row r="29" spans="1:13" ht="16.5" customHeight="1">
      <c r="A29" s="71" t="s">
        <v>30</v>
      </c>
      <c r="B29" s="15">
        <f aca="true" t="shared" si="5" ref="B29:J29">B8/B6*100</f>
        <v>0.00011741359324006332</v>
      </c>
      <c r="C29" s="15">
        <f t="shared" si="5"/>
        <v>0.00010988997101816849</v>
      </c>
      <c r="D29" s="15">
        <f t="shared" si="5"/>
        <v>9.690041728226694E-05</v>
      </c>
      <c r="E29" s="15">
        <f t="shared" si="5"/>
        <v>0.00010651195315178253</v>
      </c>
      <c r="F29" s="15">
        <f t="shared" si="5"/>
        <v>0.00010834642765576054</v>
      </c>
      <c r="G29" s="15">
        <f t="shared" si="5"/>
        <v>0.00011826437567546206</v>
      </c>
      <c r="H29" s="15">
        <f t="shared" si="5"/>
        <v>0.00010546246344846789</v>
      </c>
      <c r="I29" s="15">
        <f t="shared" si="5"/>
        <v>0.00011687946266750543</v>
      </c>
      <c r="J29" s="15">
        <f t="shared" si="5"/>
        <v>0.00012592761428875454</v>
      </c>
      <c r="K29" s="15">
        <f>K8/K6*100</f>
        <v>0.00010620883712146538</v>
      </c>
      <c r="L29" s="15">
        <f>L8/L6*100</f>
        <v>0.00010769630073976589</v>
      </c>
      <c r="M29" s="15">
        <f>M8/M6*100</f>
        <v>0.00011072612764295768</v>
      </c>
    </row>
    <row r="30" spans="1:13" ht="16.5" customHeight="1">
      <c r="A30" s="71" t="s">
        <v>31</v>
      </c>
      <c r="B30" s="15">
        <f aca="true" t="shared" si="6" ref="B30:J30">B9/B6*100</f>
        <v>23.43977881962773</v>
      </c>
      <c r="C30" s="15">
        <f t="shared" si="6"/>
        <v>25.324704259989122</v>
      </c>
      <c r="D30" s="15">
        <f t="shared" si="6"/>
        <v>24.265153263029497</v>
      </c>
      <c r="E30" s="15">
        <f t="shared" si="6"/>
        <v>24.788004441244126</v>
      </c>
      <c r="F30" s="15">
        <f t="shared" si="6"/>
        <v>24.103578593858394</v>
      </c>
      <c r="G30" s="15">
        <f t="shared" si="6"/>
        <v>24.410353533611424</v>
      </c>
      <c r="H30" s="15">
        <f t="shared" si="6"/>
        <v>23.723685734313538</v>
      </c>
      <c r="I30" s="15">
        <f t="shared" si="6"/>
        <v>24.303920548796846</v>
      </c>
      <c r="J30" s="15">
        <f t="shared" si="6"/>
        <v>24.508153183387122</v>
      </c>
      <c r="K30" s="15">
        <f>K9/K6*100</f>
        <v>25.170680130036033</v>
      </c>
      <c r="L30" s="15">
        <f>L9/L6*100</f>
        <v>28.623185674369182</v>
      </c>
      <c r="M30" s="15">
        <f>M9/M6*100</f>
        <v>26.507382826036196</v>
      </c>
    </row>
    <row r="31" spans="1:13" ht="16.5" customHeight="1">
      <c r="A31" s="71" t="s">
        <v>32</v>
      </c>
      <c r="B31" s="15">
        <f aca="true" t="shared" si="7" ref="B31:J31">B10/B6*100</f>
        <v>16.448979069237847</v>
      </c>
      <c r="C31" s="15">
        <f t="shared" si="7"/>
        <v>13.909389015607287</v>
      </c>
      <c r="D31" s="15">
        <f t="shared" si="7"/>
        <v>16.571909363613294</v>
      </c>
      <c r="E31" s="15">
        <f t="shared" si="7"/>
        <v>14.054926794080998</v>
      </c>
      <c r="F31" s="15">
        <f t="shared" si="7"/>
        <v>12.92426614255888</v>
      </c>
      <c r="G31" s="15">
        <f t="shared" si="7"/>
        <v>12.678059336785207</v>
      </c>
      <c r="H31" s="15">
        <f t="shared" si="7"/>
        <v>14.446760489422164</v>
      </c>
      <c r="I31" s="15">
        <f t="shared" si="7"/>
        <v>13.45762329271501</v>
      </c>
      <c r="J31" s="15">
        <f t="shared" si="7"/>
        <v>13.24820962414385</v>
      </c>
      <c r="K31" s="15">
        <f>K10/K6*100</f>
        <v>14.21362016058169</v>
      </c>
      <c r="L31" s="15">
        <f>L10/L6*100</f>
        <v>12.343250960803182</v>
      </c>
      <c r="M31" s="15">
        <f>M10/M6*100</f>
        <v>12.16410940830218</v>
      </c>
    </row>
    <row r="32" spans="1:13" ht="16.5" customHeight="1">
      <c r="A32" s="71" t="s">
        <v>33</v>
      </c>
      <c r="B32" s="15">
        <f aca="true" t="shared" si="8" ref="B32:J32">B11/B6*100</f>
        <v>3.515519533065149</v>
      </c>
      <c r="C32" s="15">
        <f t="shared" si="8"/>
        <v>4.187571631090796</v>
      </c>
      <c r="D32" s="15">
        <f t="shared" si="8"/>
        <v>0.7229788583638578</v>
      </c>
      <c r="E32" s="15">
        <f t="shared" si="8"/>
        <v>0.563772840030154</v>
      </c>
      <c r="F32" s="15">
        <f t="shared" si="8"/>
        <v>0.6139942806875743</v>
      </c>
      <c r="G32" s="15">
        <f t="shared" si="8"/>
        <v>0.5207919613338565</v>
      </c>
      <c r="H32" s="15">
        <f t="shared" si="8"/>
        <v>0.4861920005415748</v>
      </c>
      <c r="I32" s="15">
        <f t="shared" si="8"/>
        <v>0.4864523236221575</v>
      </c>
      <c r="J32" s="15">
        <f t="shared" si="8"/>
        <v>0.7495765683969541</v>
      </c>
      <c r="K32" s="15">
        <f>K11/K6*100</f>
        <v>0.6964518055148281</v>
      </c>
      <c r="L32" s="15">
        <f>L11/L6*100</f>
        <v>0.5780435056531895</v>
      </c>
      <c r="M32" s="15">
        <f>M11/M6*100</f>
        <v>0.3800120700706308</v>
      </c>
    </row>
    <row r="33" spans="1:13" ht="16.5" customHeight="1">
      <c r="A33" s="71" t="s">
        <v>34</v>
      </c>
      <c r="B33" s="15">
        <f aca="true" t="shared" si="9" ref="B33:J33">B12/B6*100</f>
        <v>0.088037830436097</v>
      </c>
      <c r="C33" s="15">
        <f t="shared" si="9"/>
        <v>0.08332407052452627</v>
      </c>
      <c r="D33" s="15">
        <f t="shared" si="9"/>
        <v>0.09613974900660115</v>
      </c>
      <c r="E33" s="15">
        <f t="shared" si="9"/>
        <v>0.0877810653903762</v>
      </c>
      <c r="F33" s="15">
        <f t="shared" si="9"/>
        <v>0.10642081614606043</v>
      </c>
      <c r="G33" s="15">
        <f t="shared" si="9"/>
        <v>0.11781102890203944</v>
      </c>
      <c r="H33" s="15">
        <f t="shared" si="9"/>
        <v>0.09470529217672415</v>
      </c>
      <c r="I33" s="15">
        <f t="shared" si="9"/>
        <v>0.10721912099224769</v>
      </c>
      <c r="J33" s="15">
        <f t="shared" si="9"/>
        <v>0.09639003308118427</v>
      </c>
      <c r="K33" s="15">
        <f>K12/K6*100</f>
        <v>0.0935497552493212</v>
      </c>
      <c r="L33" s="15">
        <f>L12/L6*100</f>
        <v>0.0938596673186351</v>
      </c>
      <c r="M33" s="15">
        <f>M12/M6*100</f>
        <v>0.09657163765926627</v>
      </c>
    </row>
    <row r="34" spans="1:13" ht="16.5" customHeight="1">
      <c r="A34" s="71" t="s">
        <v>49</v>
      </c>
      <c r="B34" s="15">
        <f aca="true" t="shared" si="10" ref="B34:J34">B13/B6*100</f>
        <v>3.0902866362140533</v>
      </c>
      <c r="C34" s="15">
        <f t="shared" si="10"/>
        <v>3.659138232957178</v>
      </c>
      <c r="D34" s="15">
        <f t="shared" si="10"/>
        <v>3.860265528461445</v>
      </c>
      <c r="E34" s="15">
        <f t="shared" si="10"/>
        <v>3.9045557546201968</v>
      </c>
      <c r="F34" s="15">
        <f t="shared" si="10"/>
        <v>3.6390068414859265</v>
      </c>
      <c r="G34" s="15">
        <f t="shared" si="10"/>
        <v>4.787854406303964</v>
      </c>
      <c r="H34" s="15">
        <f t="shared" si="10"/>
        <v>3.042069780193125</v>
      </c>
      <c r="I34" s="15">
        <f t="shared" si="10"/>
        <v>2.963732861723008</v>
      </c>
      <c r="J34" s="15">
        <f t="shared" si="10"/>
        <v>3.248131549022991</v>
      </c>
      <c r="K34" s="15">
        <f>K13/K6*100</f>
        <v>2.6034668789764464</v>
      </c>
      <c r="L34" s="15">
        <f>L13/L6*100</f>
        <v>2.7452723548137974</v>
      </c>
      <c r="M34" s="15">
        <f>M13/M6*100</f>
        <v>2.857979762124292</v>
      </c>
    </row>
    <row r="35" spans="1:13" ht="16.5" customHeight="1">
      <c r="A35" s="69" t="s">
        <v>18</v>
      </c>
      <c r="B35" s="75">
        <f aca="true" t="shared" si="11" ref="B35:J35">B14/B22*100</f>
        <v>0.6796026738301992</v>
      </c>
      <c r="C35" s="75">
        <f t="shared" si="11"/>
        <v>0.6723057437913038</v>
      </c>
      <c r="D35" s="75">
        <f t="shared" si="11"/>
        <v>0.6512860064699721</v>
      </c>
      <c r="E35" s="75">
        <f t="shared" si="11"/>
        <v>0.6260187282440927</v>
      </c>
      <c r="F35" s="75">
        <f t="shared" si="11"/>
        <v>0.6475570031935772</v>
      </c>
      <c r="G35" s="75">
        <f t="shared" si="11"/>
        <v>0.6463672441462992</v>
      </c>
      <c r="H35" s="75">
        <f t="shared" si="11"/>
        <v>0.6811310988950642</v>
      </c>
      <c r="I35" s="75">
        <f t="shared" si="11"/>
        <v>0.7506246084612664</v>
      </c>
      <c r="J35" s="75">
        <f t="shared" si="11"/>
        <v>0.7887852961305594</v>
      </c>
      <c r="K35" s="75">
        <f>K14/K22*100</f>
        <v>0.7110787050497716</v>
      </c>
      <c r="L35" s="75">
        <f>L14/L22*100</f>
        <v>0.7429470020386959</v>
      </c>
      <c r="M35" s="75">
        <f>M14/M22*100</f>
        <v>0.6989524212071048</v>
      </c>
    </row>
    <row r="36" spans="1:13" ht="16.5" customHeight="1">
      <c r="A36" s="1" t="s">
        <v>19</v>
      </c>
      <c r="B36" s="75">
        <f aca="true" t="shared" si="12" ref="B36:J36">B15/B14*100</f>
        <v>78.40368681668873</v>
      </c>
      <c r="C36" s="75">
        <f t="shared" si="12"/>
        <v>77.9905510276975</v>
      </c>
      <c r="D36" s="75">
        <f t="shared" si="12"/>
        <v>76.90033627729943</v>
      </c>
      <c r="E36" s="75">
        <f t="shared" si="12"/>
        <v>74.30598048372033</v>
      </c>
      <c r="F36" s="75">
        <f t="shared" si="12"/>
        <v>75.5668895689297</v>
      </c>
      <c r="G36" s="75">
        <f t="shared" si="12"/>
        <v>76.03920499303157</v>
      </c>
      <c r="H36" s="75">
        <f t="shared" si="12"/>
        <v>77.01213394942845</v>
      </c>
      <c r="I36" s="75">
        <f t="shared" si="12"/>
        <v>79.50587255086408</v>
      </c>
      <c r="J36" s="75">
        <f t="shared" si="12"/>
        <v>79.23846933603649</v>
      </c>
      <c r="K36" s="75">
        <f>K15/K14*100</f>
        <v>77.30572582695405</v>
      </c>
      <c r="L36" s="75">
        <f>L15/L14*100</f>
        <v>79.26795701077232</v>
      </c>
      <c r="M36" s="75">
        <f>M15/M14*100</f>
        <v>78.13915380329696</v>
      </c>
    </row>
    <row r="37" spans="1:13" ht="16.5" customHeight="1">
      <c r="A37" s="71" t="s">
        <v>39</v>
      </c>
      <c r="B37" s="15">
        <f aca="true" t="shared" si="13" ref="B37:J37">B16/B15*100</f>
        <v>47.88435884608971</v>
      </c>
      <c r="C37" s="15">
        <f t="shared" si="13"/>
        <v>48.00416341399948</v>
      </c>
      <c r="D37" s="15">
        <f t="shared" si="13"/>
        <v>50.71119654012494</v>
      </c>
      <c r="E37" s="15">
        <f t="shared" si="13"/>
        <v>47.845402043536204</v>
      </c>
      <c r="F37" s="15">
        <f t="shared" si="13"/>
        <v>50.05049545540901</v>
      </c>
      <c r="G37" s="15">
        <f t="shared" si="13"/>
        <v>48.957067436995715</v>
      </c>
      <c r="H37" s="15">
        <f t="shared" si="13"/>
        <v>49.185581028269326</v>
      </c>
      <c r="I37" s="15">
        <f t="shared" si="13"/>
        <v>45.99879993577121</v>
      </c>
      <c r="J37" s="15">
        <f t="shared" si="13"/>
        <v>47.41104981210522</v>
      </c>
      <c r="K37" s="15">
        <f>K16/K15*100</f>
        <v>45.120948587715134</v>
      </c>
      <c r="L37" s="15">
        <f>L16/L15*100</f>
        <v>44.54396944275646</v>
      </c>
      <c r="M37" s="15">
        <f>M16/M15*100</f>
        <v>43.56236316509106</v>
      </c>
    </row>
    <row r="38" spans="1:13" ht="16.5" customHeight="1">
      <c r="A38" s="71" t="s">
        <v>42</v>
      </c>
      <c r="B38" s="15">
        <f aca="true" t="shared" si="14" ref="B38:J38">B17/B15*100</f>
        <v>15.229489744872438</v>
      </c>
      <c r="C38" s="15">
        <f t="shared" si="14"/>
        <v>17.27088212334114</v>
      </c>
      <c r="D38" s="15">
        <f t="shared" si="14"/>
        <v>17.478135511773186</v>
      </c>
      <c r="E38" s="15">
        <f t="shared" si="14"/>
        <v>17.981168261260578</v>
      </c>
      <c r="F38" s="15">
        <f t="shared" si="14"/>
        <v>15.972562469377758</v>
      </c>
      <c r="G38" s="15">
        <f t="shared" si="14"/>
        <v>15.74061161470266</v>
      </c>
      <c r="H38" s="15">
        <f t="shared" si="14"/>
        <v>15.417383780083105</v>
      </c>
      <c r="I38" s="15">
        <f t="shared" si="14"/>
        <v>17.264867697144354</v>
      </c>
      <c r="J38" s="15">
        <f t="shared" si="14"/>
        <v>16.766610698009117</v>
      </c>
      <c r="K38" s="15">
        <f>K17/K15*100</f>
        <v>15.166075930865642</v>
      </c>
      <c r="L38" s="15">
        <f>L17/L15*100</f>
        <v>15.73003559224389</v>
      </c>
      <c r="M38" s="15">
        <f>M17/M15*100</f>
        <v>12.427335944905337</v>
      </c>
    </row>
    <row r="39" spans="1:13" ht="16.5" customHeight="1">
      <c r="A39" s="71" t="s">
        <v>40</v>
      </c>
      <c r="B39" s="15">
        <f aca="true" t="shared" si="15" ref="B39:J39">B18/B15*100</f>
        <v>33.75333500083375</v>
      </c>
      <c r="C39" s="15">
        <f t="shared" si="15"/>
        <v>31.482695810564664</v>
      </c>
      <c r="D39" s="15">
        <f t="shared" si="15"/>
        <v>28.686208553580013</v>
      </c>
      <c r="E39" s="15">
        <f t="shared" si="15"/>
        <v>30.98460304905137</v>
      </c>
      <c r="F39" s="15">
        <f t="shared" si="15"/>
        <v>30.745232929036387</v>
      </c>
      <c r="G39" s="15">
        <f t="shared" si="15"/>
        <v>32.01812929574659</v>
      </c>
      <c r="H39" s="15">
        <f t="shared" si="15"/>
        <v>31.950136449646756</v>
      </c>
      <c r="I39" s="15">
        <f t="shared" si="15"/>
        <v>33.0879680884329</v>
      </c>
      <c r="J39" s="15">
        <f t="shared" si="15"/>
        <v>32.53298153034301</v>
      </c>
      <c r="K39" s="15">
        <f>K18/K15*100</f>
        <v>36.35217597836811</v>
      </c>
      <c r="L39" s="15">
        <f>L18/L15*100</f>
        <v>36.49901746466424</v>
      </c>
      <c r="M39" s="15">
        <f>M18/M15*100</f>
        <v>40.342915621618445</v>
      </c>
    </row>
    <row r="40" spans="1:13" ht="16.5" customHeight="1">
      <c r="A40" s="63" t="s">
        <v>51</v>
      </c>
      <c r="B40" s="15">
        <f aca="true" t="shared" si="16" ref="B40:J40">B19/B15*100</f>
        <v>0.348090712022678</v>
      </c>
      <c r="C40" s="15">
        <f t="shared" si="16"/>
        <v>0.36429872495446264</v>
      </c>
      <c r="D40" s="15">
        <f t="shared" si="16"/>
        <v>0.40653531955790484</v>
      </c>
      <c r="E40" s="15">
        <f t="shared" si="16"/>
        <v>0.3705670108677986</v>
      </c>
      <c r="F40" s="15">
        <f t="shared" si="16"/>
        <v>0.3519683228509434</v>
      </c>
      <c r="G40" s="15">
        <f t="shared" si="16"/>
        <v>0.4372945512501245</v>
      </c>
      <c r="H40" s="15">
        <f t="shared" si="16"/>
        <v>0.3432635712723573</v>
      </c>
      <c r="I40" s="15">
        <f t="shared" si="16"/>
        <v>0.382837391296999</v>
      </c>
      <c r="J40" s="15">
        <f t="shared" si="16"/>
        <v>0.2910370192692093</v>
      </c>
      <c r="K40" s="15">
        <f>K19/K15*100</f>
        <v>0.33708481017283587</v>
      </c>
      <c r="L40" s="15">
        <f>L19/L15*100</f>
        <v>0.35750080891463387</v>
      </c>
      <c r="M40" s="15">
        <f>M19/M15*100</f>
        <v>0.2919144724149212</v>
      </c>
    </row>
    <row r="41" spans="1:13" ht="16.5" customHeight="1">
      <c r="A41" s="71" t="s">
        <v>53</v>
      </c>
      <c r="B41" s="15">
        <f aca="true" t="shared" si="17" ref="B41:J41">B20/B15*100</f>
        <v>2.784725696181424</v>
      </c>
      <c r="C41" s="15">
        <f t="shared" si="17"/>
        <v>2.877959927140255</v>
      </c>
      <c r="D41" s="15">
        <f t="shared" si="17"/>
        <v>2.71792407496396</v>
      </c>
      <c r="E41" s="15">
        <f t="shared" si="17"/>
        <v>2.8182596352840474</v>
      </c>
      <c r="F41" s="15">
        <f t="shared" si="17"/>
        <v>2.8797408233259008</v>
      </c>
      <c r="G41" s="15">
        <f t="shared" si="17"/>
        <v>2.846897101304911</v>
      </c>
      <c r="H41" s="15">
        <f t="shared" si="17"/>
        <v>3.1036351707284604</v>
      </c>
      <c r="I41" s="15">
        <f t="shared" si="17"/>
        <v>3.2655268873545342</v>
      </c>
      <c r="J41" s="15">
        <f t="shared" si="17"/>
        <v>2.9983209402734468</v>
      </c>
      <c r="K41" s="15">
        <f>K20/K15*100</f>
        <v>3.023714692878284</v>
      </c>
      <c r="L41" s="15">
        <f>L20/L15*100</f>
        <v>2.86947669142077</v>
      </c>
      <c r="M41" s="15">
        <f>M20/M15*100</f>
        <v>3.375470795970238</v>
      </c>
    </row>
    <row r="42" spans="1:13" ht="16.5" customHeight="1">
      <c r="A42" s="1" t="s">
        <v>20</v>
      </c>
      <c r="B42" s="75">
        <f aca="true" t="shared" si="18" ref="B42:J42">B21/B14*100</f>
        <v>21.59631318331127</v>
      </c>
      <c r="C42" s="75">
        <f t="shared" si="18"/>
        <v>22.009448972302497</v>
      </c>
      <c r="D42" s="75">
        <f t="shared" si="18"/>
        <v>23.099663722700566</v>
      </c>
      <c r="E42" s="75">
        <f t="shared" si="18"/>
        <v>25.69401951627967</v>
      </c>
      <c r="F42" s="75">
        <f t="shared" si="18"/>
        <v>24.43311043107031</v>
      </c>
      <c r="G42" s="75">
        <f t="shared" si="18"/>
        <v>23.96079500696843</v>
      </c>
      <c r="H42" s="75">
        <f t="shared" si="18"/>
        <v>22.987866050571547</v>
      </c>
      <c r="I42" s="75">
        <f t="shared" si="18"/>
        <v>20.494127449135917</v>
      </c>
      <c r="J42" s="75">
        <f t="shared" si="18"/>
        <v>20.761530663963505</v>
      </c>
      <c r="K42" s="75">
        <f>K21/K14*100</f>
        <v>22.694274173045958</v>
      </c>
      <c r="L42" s="75">
        <f>L21/L14*100</f>
        <v>20.73204298922767</v>
      </c>
      <c r="M42" s="75">
        <f>M21/M14*100</f>
        <v>21.860846196703047</v>
      </c>
    </row>
    <row r="43" spans="1:13" ht="16.5" customHeight="1">
      <c r="A43" s="73" t="s">
        <v>47</v>
      </c>
      <c r="B43" s="75">
        <f aca="true" t="shared" si="19" ref="B43:J43">B27+B35</f>
        <v>100</v>
      </c>
      <c r="C43" s="75">
        <f t="shared" si="19"/>
        <v>100</v>
      </c>
      <c r="D43" s="75">
        <f t="shared" si="19"/>
        <v>100</v>
      </c>
      <c r="E43" s="75">
        <f t="shared" si="19"/>
        <v>100</v>
      </c>
      <c r="F43" s="75">
        <f t="shared" si="19"/>
        <v>100</v>
      </c>
      <c r="G43" s="75">
        <f t="shared" si="19"/>
        <v>100.00000000000001</v>
      </c>
      <c r="H43" s="75">
        <f t="shared" si="19"/>
        <v>100</v>
      </c>
      <c r="I43" s="75">
        <f t="shared" si="19"/>
        <v>100</v>
      </c>
      <c r="J43" s="75">
        <f t="shared" si="19"/>
        <v>100</v>
      </c>
      <c r="K43" s="75">
        <f>K27+K35</f>
        <v>100</v>
      </c>
      <c r="L43" s="75">
        <f>L27+L35</f>
        <v>100</v>
      </c>
      <c r="M43" s="75">
        <f>M27+M35</f>
        <v>100.00000000000001</v>
      </c>
    </row>
    <row r="44" spans="1:11" ht="15.75" customHeight="1">
      <c r="A44" s="29" t="s">
        <v>21</v>
      </c>
      <c r="B44" s="45"/>
      <c r="C44" s="45"/>
      <c r="D44" s="4"/>
      <c r="E44" s="4"/>
      <c r="F44" s="5"/>
      <c r="G44" s="4"/>
      <c r="H44" s="4"/>
      <c r="J44" s="14"/>
      <c r="K44" s="14"/>
    </row>
    <row r="45" spans="1:11" ht="15.75" customHeight="1">
      <c r="A45" s="29" t="s">
        <v>22</v>
      </c>
      <c r="B45" s="4"/>
      <c r="C45" s="4"/>
      <c r="D45" s="4"/>
      <c r="E45" s="4"/>
      <c r="F45" s="5"/>
      <c r="G45" s="4"/>
      <c r="H45" s="4"/>
      <c r="J45" s="14"/>
      <c r="K45" s="14"/>
    </row>
    <row r="46" spans="1:8" ht="15.75" customHeight="1">
      <c r="A46" s="29" t="s">
        <v>23</v>
      </c>
      <c r="B46" s="4"/>
      <c r="C46" s="4"/>
      <c r="D46" s="4"/>
      <c r="E46" s="4"/>
      <c r="F46" s="5"/>
      <c r="G46" s="4"/>
      <c r="H46" s="4"/>
    </row>
    <row r="47" spans="1:8" ht="15.75" customHeight="1">
      <c r="A47" s="76"/>
      <c r="B47" s="4"/>
      <c r="C47" s="4"/>
      <c r="D47" s="4"/>
      <c r="E47" s="4"/>
      <c r="F47" s="5"/>
      <c r="G47" s="4"/>
      <c r="H47" s="4"/>
    </row>
    <row r="48" spans="1:8" ht="15.75">
      <c r="A48" s="4"/>
      <c r="B48" s="4"/>
      <c r="C48" s="4"/>
      <c r="D48" s="4"/>
      <c r="E48" s="4"/>
      <c r="F48" s="5"/>
      <c r="G48" s="4"/>
      <c r="H48" s="4"/>
    </row>
  </sheetData>
  <sheetProtection/>
  <mergeCells count="7">
    <mergeCell ref="A1:M1"/>
    <mergeCell ref="B4:M4"/>
    <mergeCell ref="B3:M3"/>
    <mergeCell ref="B25:M25"/>
    <mergeCell ref="B24:M24"/>
    <mergeCell ref="A3:A5"/>
    <mergeCell ref="A24:A26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="80" zoomScaleNormal="8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55.57421875" style="14" customWidth="1"/>
    <col min="2" max="2" width="21.140625" style="14" bestFit="1" customWidth="1"/>
    <col min="3" max="5" width="18.28125" style="14" bestFit="1" customWidth="1"/>
    <col min="6" max="6" width="18.00390625" style="14" bestFit="1" customWidth="1"/>
    <col min="7" max="7" width="23.7109375" style="14" bestFit="1" customWidth="1"/>
    <col min="8" max="8" width="21.8515625" style="14" customWidth="1"/>
    <col min="9" max="9" width="18.28125" style="14" bestFit="1" customWidth="1"/>
    <col min="10" max="10" width="30.140625" style="10" customWidth="1"/>
    <col min="11" max="11" width="25.28125" style="8" customWidth="1"/>
    <col min="12" max="12" width="25.421875" style="8" customWidth="1"/>
    <col min="13" max="13" width="24.00390625" style="14" customWidth="1"/>
    <col min="14" max="14" width="27.00390625" style="14" bestFit="1" customWidth="1"/>
    <col min="15" max="16" width="19.140625" style="14" customWidth="1"/>
    <col min="17" max="17" width="24.421875" style="14" customWidth="1"/>
    <col min="18" max="18" width="23.57421875" style="14" customWidth="1"/>
    <col min="19" max="19" width="16.28125" style="14" bestFit="1" customWidth="1"/>
    <col min="20" max="20" width="16.00390625" style="14" bestFit="1" customWidth="1"/>
    <col min="21" max="21" width="18.28125" style="14" bestFit="1" customWidth="1"/>
    <col min="22" max="16384" width="9.140625" style="14" customWidth="1"/>
  </cols>
  <sheetData>
    <row r="1" spans="1:19" ht="23.25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4"/>
      <c r="O1" s="24"/>
      <c r="P1" s="24"/>
      <c r="Q1" s="24"/>
      <c r="R1" s="29"/>
      <c r="S1" s="29"/>
    </row>
    <row r="2" spans="1:23" ht="12.75">
      <c r="A2" s="46"/>
      <c r="B2" s="31"/>
      <c r="C2" s="31"/>
      <c r="D2" s="31"/>
      <c r="E2" s="31"/>
      <c r="F2" s="31"/>
      <c r="G2" s="31"/>
      <c r="H2" s="31"/>
      <c r="I2" s="31"/>
      <c r="J2" s="32"/>
      <c r="K2" s="32"/>
      <c r="L2" s="32"/>
      <c r="M2" s="31"/>
      <c r="N2" s="31"/>
      <c r="O2" s="31"/>
      <c r="P2" s="31"/>
      <c r="Q2" s="31"/>
      <c r="R2" s="11"/>
      <c r="S2" s="28"/>
      <c r="T2" s="28"/>
      <c r="U2" s="28"/>
      <c r="V2" s="35"/>
      <c r="W2" s="35"/>
    </row>
    <row r="3" spans="1:15" ht="18">
      <c r="A3" s="92"/>
      <c r="B3" s="88" t="s">
        <v>45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  <c r="O3" s="19"/>
    </row>
    <row r="4" spans="1:19" ht="18">
      <c r="A4" s="86"/>
      <c r="B4" s="89" t="s">
        <v>52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20"/>
      <c r="O4" s="20"/>
      <c r="P4" s="20"/>
      <c r="Q4" s="20"/>
      <c r="R4" s="11"/>
      <c r="S4" s="11"/>
    </row>
    <row r="5" spans="1:17" ht="16.5" customHeight="1">
      <c r="A5" s="86"/>
      <c r="B5" s="53" t="s">
        <v>4</v>
      </c>
      <c r="C5" s="53" t="s">
        <v>5</v>
      </c>
      <c r="D5" s="53" t="s">
        <v>6</v>
      </c>
      <c r="E5" s="53" t="s">
        <v>7</v>
      </c>
      <c r="F5" s="54" t="s">
        <v>8</v>
      </c>
      <c r="G5" s="53" t="s">
        <v>9</v>
      </c>
      <c r="H5" s="53" t="s">
        <v>10</v>
      </c>
      <c r="I5" s="53" t="s">
        <v>24</v>
      </c>
      <c r="J5" s="55" t="s">
        <v>0</v>
      </c>
      <c r="K5" s="54" t="s">
        <v>1</v>
      </c>
      <c r="L5" s="56" t="s">
        <v>2</v>
      </c>
      <c r="M5" s="53" t="s">
        <v>3</v>
      </c>
      <c r="N5" s="21"/>
      <c r="O5" s="21"/>
      <c r="P5" s="21"/>
      <c r="Q5" s="21"/>
    </row>
    <row r="6" spans="1:21" ht="16.5" customHeight="1">
      <c r="A6" s="57" t="s">
        <v>11</v>
      </c>
      <c r="B6" s="56">
        <f aca="true" t="shared" si="0" ref="B6:J6">SUM(B7:B13)</f>
        <v>4464011.357376</v>
      </c>
      <c r="C6" s="56">
        <f t="shared" si="0"/>
        <v>4169607.7553490005</v>
      </c>
      <c r="D6" s="56">
        <f t="shared" si="0"/>
        <v>4948406.513169001</v>
      </c>
      <c r="E6" s="56">
        <f t="shared" si="0"/>
        <v>4589630.2128490005</v>
      </c>
      <c r="F6" s="58">
        <f t="shared" si="0"/>
        <v>4785683.785035</v>
      </c>
      <c r="G6" s="58">
        <f t="shared" si="0"/>
        <v>4924236.009011001</v>
      </c>
      <c r="H6" s="58">
        <f t="shared" si="0"/>
        <v>4935962.010628001</v>
      </c>
      <c r="I6" s="58">
        <f t="shared" si="0"/>
        <v>4763382.372447</v>
      </c>
      <c r="J6" s="58">
        <f t="shared" si="0"/>
        <v>5043609.633465</v>
      </c>
      <c r="K6" s="55">
        <f>SUM(K7:K13)</f>
        <v>5062786.085294999</v>
      </c>
      <c r="L6" s="55">
        <f>SUM(L7:L13)</f>
        <v>5160500.208896</v>
      </c>
      <c r="M6" s="55">
        <f>SUM(M7:M13)</f>
        <v>6503999.8967</v>
      </c>
      <c r="N6" s="7"/>
      <c r="O6" s="7"/>
      <c r="P6" s="7"/>
      <c r="Q6" s="41"/>
      <c r="R6" s="41"/>
      <c r="U6" s="11"/>
    </row>
    <row r="7" spans="1:18" ht="16.5" customHeight="1">
      <c r="A7" s="59" t="s">
        <v>12</v>
      </c>
      <c r="B7" s="60">
        <f>(3899526052092+986554189+236807489)/1000000</f>
        <v>3900749.41377</v>
      </c>
      <c r="C7" s="60">
        <f>(3555237767472+2716518079+25131553)/1000000</f>
        <v>3557979.417104</v>
      </c>
      <c r="D7" s="60">
        <f>(4257582872060+1227051418+17020836)/1000000</f>
        <v>4258826.944314</v>
      </c>
      <c r="E7" s="60">
        <v>3926992.322595</v>
      </c>
      <c r="F7" s="60">
        <v>4124709.665333</v>
      </c>
      <c r="G7" s="60">
        <v>4235350.561142</v>
      </c>
      <c r="H7" s="60">
        <f>4313092228814/1000000</f>
        <v>4313092.228814</v>
      </c>
      <c r="I7" s="60">
        <f>4150098683610/1000000</f>
        <v>4150098.68361</v>
      </c>
      <c r="J7" s="12">
        <f>4393832083529/1000000</f>
        <v>4393832.083529</v>
      </c>
      <c r="K7" s="12">
        <f>(4307210877744+979048638+19672938)/1000000</f>
        <v>4308209.59932</v>
      </c>
      <c r="L7" s="12">
        <f>(4534168728478+727353243+35731248)/1000000</f>
        <v>4534931.812969</v>
      </c>
      <c r="M7" s="12">
        <f>5694005574491/1000000</f>
        <v>5694005.574491</v>
      </c>
      <c r="N7" s="10"/>
      <c r="O7" s="10"/>
      <c r="P7" s="10"/>
      <c r="Q7" s="41"/>
      <c r="R7" s="41"/>
    </row>
    <row r="8" spans="1:18" ht="16.5" customHeight="1">
      <c r="A8" s="59" t="s">
        <v>13</v>
      </c>
      <c r="B8" s="60">
        <f>20604129997/1000000</f>
        <v>20604.129997</v>
      </c>
      <c r="C8" s="60">
        <f>19553944029/1000000</f>
        <v>19553.944029</v>
      </c>
      <c r="D8" s="60">
        <f>18953628474/1000000</f>
        <v>18953.628474</v>
      </c>
      <c r="E8" s="60">
        <v>20004.779168</v>
      </c>
      <c r="F8" s="60">
        <v>19603.990073</v>
      </c>
      <c r="G8" s="60">
        <v>18503.527087</v>
      </c>
      <c r="H8" s="60">
        <f>19203822087/1000000</f>
        <v>19203.822087</v>
      </c>
      <c r="I8" s="60">
        <f>19604005836/1000000</f>
        <v>19604.005836</v>
      </c>
      <c r="J8" s="12">
        <f>20603830142/1000000</f>
        <v>20603.830142</v>
      </c>
      <c r="K8" s="12">
        <f>19503826707/1000000</f>
        <v>19503.826707</v>
      </c>
      <c r="L8" s="12">
        <f>21754658375/1000000</f>
        <v>21754.658375</v>
      </c>
      <c r="M8" s="12">
        <f>19804342852/1000000</f>
        <v>19804.342852</v>
      </c>
      <c r="N8" s="10"/>
      <c r="O8" s="10"/>
      <c r="P8" s="10"/>
      <c r="Q8" s="41"/>
      <c r="R8" s="41"/>
    </row>
    <row r="9" spans="1:18" ht="16.5" customHeight="1">
      <c r="A9" s="59" t="s">
        <v>14</v>
      </c>
      <c r="B9" s="60">
        <f>466149334797/1000000</f>
        <v>466149.334797</v>
      </c>
      <c r="C9" s="60">
        <f>515866445423/1000000</f>
        <v>515866.445423</v>
      </c>
      <c r="D9" s="60">
        <f>581610639076/1000000</f>
        <v>581610.639076</v>
      </c>
      <c r="E9" s="60">
        <v>559059.084765</v>
      </c>
      <c r="F9" s="60">
        <v>553714.106543</v>
      </c>
      <c r="G9" s="60">
        <v>582818.329839</v>
      </c>
      <c r="H9" s="60">
        <f>525738848379/1000000</f>
        <v>525738.848379</v>
      </c>
      <c r="I9" s="60">
        <f>518537027561/1000000</f>
        <v>518537.027561</v>
      </c>
      <c r="J9" s="12">
        <f>544668917610/1000000</f>
        <v>544668.91761</v>
      </c>
      <c r="K9" s="12">
        <f>655952723583/1000000</f>
        <v>655952.723583</v>
      </c>
      <c r="L9" s="12">
        <f>524418660181/1000000</f>
        <v>524418.660181</v>
      </c>
      <c r="M9" s="12">
        <f>710971113892/1000000</f>
        <v>710971.113892</v>
      </c>
      <c r="N9" s="10"/>
      <c r="O9" s="10"/>
      <c r="P9" s="10"/>
      <c r="Q9" s="41"/>
      <c r="R9" s="41"/>
    </row>
    <row r="10" spans="1:18" ht="16.5" customHeight="1">
      <c r="A10" s="59" t="s">
        <v>15</v>
      </c>
      <c r="B10" s="60">
        <f>30978729515/1000000</f>
        <v>30978.729515</v>
      </c>
      <c r="C10" s="60">
        <f>27075837363/1000000</f>
        <v>27075.837363</v>
      </c>
      <c r="D10" s="60">
        <f>28569417220/1000000</f>
        <v>28569.41722</v>
      </c>
      <c r="E10" s="60">
        <v>28393.23731</v>
      </c>
      <c r="F10" s="60">
        <v>26818.971539</v>
      </c>
      <c r="G10" s="60">
        <v>25427.205947</v>
      </c>
      <c r="H10" s="60">
        <f>27731004287/1000000</f>
        <v>27731.004287</v>
      </c>
      <c r="I10" s="60">
        <f>26095836783/1000000</f>
        <v>26095.836783</v>
      </c>
      <c r="J10" s="12">
        <f>25836410560/1000000</f>
        <v>25836.41056</v>
      </c>
      <c r="K10" s="12">
        <f>27029646373/1000000</f>
        <v>27029.646373</v>
      </c>
      <c r="L10" s="12">
        <f>26988453984/1000000</f>
        <v>26988.453984</v>
      </c>
      <c r="M10" s="12">
        <f>27937905132/1000000</f>
        <v>27937.905132</v>
      </c>
      <c r="N10" s="10"/>
      <c r="O10" s="10"/>
      <c r="P10" s="10"/>
      <c r="Q10" s="41"/>
      <c r="R10" s="41"/>
    </row>
    <row r="11" spans="1:18" ht="16.5" customHeight="1">
      <c r="A11" s="59" t="s">
        <v>16</v>
      </c>
      <c r="B11" s="60">
        <f>(29544580327+57259685)/1000000</f>
        <v>29601.840012</v>
      </c>
      <c r="C11" s="60">
        <f>(28877249549+28212858)/1000000</f>
        <v>28905.462407</v>
      </c>
      <c r="D11" s="60">
        <f>(31241963496+23434578)/1000000</f>
        <v>31265.398074</v>
      </c>
      <c r="E11" s="60">
        <v>28922.289672</v>
      </c>
      <c r="F11" s="60">
        <v>36878.465737</v>
      </c>
      <c r="G11" s="60">
        <v>32136.174323</v>
      </c>
      <c r="H11" s="60">
        <f>31501114888/1000000</f>
        <v>31501.114888</v>
      </c>
      <c r="I11" s="60">
        <f>30074928315/1000000</f>
        <v>30074.928315</v>
      </c>
      <c r="J11" s="13">
        <f>38426289594/1000000</f>
        <v>38426.289594</v>
      </c>
      <c r="K11" s="13">
        <f>(35171454094+58619363)/1000000</f>
        <v>35230.073457</v>
      </c>
      <c r="L11" s="13">
        <f>(33920925424+31921945)/1000000</f>
        <v>33952.847369</v>
      </c>
      <c r="M11" s="13">
        <f>30338691003/1000000</f>
        <v>30338.691003</v>
      </c>
      <c r="N11" s="8"/>
      <c r="O11" s="8"/>
      <c r="P11" s="8"/>
      <c r="Q11" s="41"/>
      <c r="R11" s="41"/>
    </row>
    <row r="12" spans="1:21" ht="16.5" customHeight="1">
      <c r="A12" s="59" t="s">
        <v>17</v>
      </c>
      <c r="B12" s="60">
        <f>2233836522/1000000</f>
        <v>2233.836522</v>
      </c>
      <c r="C12" s="60">
        <f>2480029879/1000000</f>
        <v>2480.029879</v>
      </c>
      <c r="D12" s="60">
        <f>2902638874/1000000</f>
        <v>2902.638874</v>
      </c>
      <c r="E12" s="60">
        <v>2600.793083</v>
      </c>
      <c r="F12" s="60">
        <v>2921.094935</v>
      </c>
      <c r="G12" s="60">
        <v>3084.608261</v>
      </c>
      <c r="H12" s="60">
        <f>2679432323/1000000</f>
        <v>2679.432323</v>
      </c>
      <c r="I12" s="60">
        <f>3397215580/1000000</f>
        <v>3397.21558</v>
      </c>
      <c r="J12" s="12">
        <f>2850733032/1000000</f>
        <v>2850.733032</v>
      </c>
      <c r="K12" s="12">
        <f>3692053056/1000000</f>
        <v>3692.053056</v>
      </c>
      <c r="L12" s="12">
        <f>3249028424/1000000</f>
        <v>3249.028424</v>
      </c>
      <c r="M12" s="12">
        <f>4037890412/1000000</f>
        <v>4037.890412</v>
      </c>
      <c r="N12" s="10"/>
      <c r="O12" s="10"/>
      <c r="P12" s="10"/>
      <c r="Q12" s="41"/>
      <c r="R12" s="41"/>
      <c r="U12" s="8"/>
    </row>
    <row r="13" spans="1:19" ht="16.5" customHeight="1">
      <c r="A13" s="59" t="s">
        <v>48</v>
      </c>
      <c r="B13" s="60">
        <f>13694072763/1000000</f>
        <v>13694.072763</v>
      </c>
      <c r="C13" s="60">
        <f>17746619144/1000000</f>
        <v>17746.619144</v>
      </c>
      <c r="D13" s="60">
        <f>26277847137/1000000</f>
        <v>26277.847137</v>
      </c>
      <c r="E13" s="60">
        <v>23657.706256</v>
      </c>
      <c r="F13" s="60">
        <v>21037.490875</v>
      </c>
      <c r="G13" s="60">
        <v>26915.602412</v>
      </c>
      <c r="H13" s="60">
        <f>16015559850/1000000</f>
        <v>16015.55985</v>
      </c>
      <c r="I13" s="60">
        <f>15574674762/1000000</f>
        <v>15574.674762</v>
      </c>
      <c r="J13" s="12">
        <f>17391368998/1000000</f>
        <v>17391.368998</v>
      </c>
      <c r="K13" s="12">
        <f>13168162799/1000000</f>
        <v>13168.162799</v>
      </c>
      <c r="L13" s="12">
        <f>15204747594/1000000</f>
        <v>15204.747594</v>
      </c>
      <c r="M13" s="12">
        <f>16904378918/1000000</f>
        <v>16904.378918</v>
      </c>
      <c r="N13" s="10"/>
      <c r="O13" s="10"/>
      <c r="P13" s="10"/>
      <c r="Q13" s="41"/>
      <c r="R13" s="41"/>
      <c r="S13" s="41"/>
    </row>
    <row r="14" spans="1:21" ht="16.5" customHeight="1">
      <c r="A14" s="57" t="s">
        <v>18</v>
      </c>
      <c r="B14" s="56">
        <f aca="true" t="shared" si="1" ref="B14:I14">B15+B21</f>
        <v>96318466.023014</v>
      </c>
      <c r="C14" s="56">
        <f t="shared" si="1"/>
        <v>92262764.26182401</v>
      </c>
      <c r="D14" s="56">
        <f t="shared" si="1"/>
        <v>113135913.26774466</v>
      </c>
      <c r="E14" s="56">
        <f t="shared" si="1"/>
        <v>99064687.7557</v>
      </c>
      <c r="F14" s="56">
        <f t="shared" si="1"/>
        <v>102314197.161304</v>
      </c>
      <c r="G14" s="56">
        <f t="shared" si="1"/>
        <v>113793752.92082798</v>
      </c>
      <c r="H14" s="56">
        <f t="shared" si="1"/>
        <v>104317412.05058001</v>
      </c>
      <c r="I14" s="56">
        <f t="shared" si="1"/>
        <v>123607918.311452</v>
      </c>
      <c r="J14" s="56">
        <f>J15+J21</f>
        <v>108282242.685604</v>
      </c>
      <c r="K14" s="56">
        <f>K15+K21</f>
        <v>96680617.282509</v>
      </c>
      <c r="L14" s="56">
        <f>L15+L21</f>
        <v>108812089.040955</v>
      </c>
      <c r="M14" s="56">
        <f>M15+M21</f>
        <v>122629161.875647</v>
      </c>
      <c r="N14" s="27"/>
      <c r="O14" s="78"/>
      <c r="P14" s="6"/>
      <c r="Q14" s="41"/>
      <c r="R14" s="41"/>
      <c r="S14" s="11"/>
      <c r="U14" s="11"/>
    </row>
    <row r="15" spans="1:21" s="48" customFormat="1" ht="16.5" customHeight="1">
      <c r="A15" s="57" t="s">
        <v>26</v>
      </c>
      <c r="B15" s="61">
        <v>93916686.099152</v>
      </c>
      <c r="C15" s="61">
        <v>90167429.258052</v>
      </c>
      <c r="D15" s="61">
        <v>110118202.52343465</v>
      </c>
      <c r="E15" s="61">
        <v>97448610.439866</v>
      </c>
      <c r="F15" s="61">
        <v>100144452.546553</v>
      </c>
      <c r="G15" s="61">
        <v>112062755.84615998</v>
      </c>
      <c r="H15" s="61">
        <f>102519598525047/1000000</f>
        <v>102519598.525047</v>
      </c>
      <c r="I15" s="61">
        <f>120141507271335/1000000</f>
        <v>120141507.271335</v>
      </c>
      <c r="J15" s="62">
        <f>106134776603945/1000000</f>
        <v>106134776.603945</v>
      </c>
      <c r="K15" s="55">
        <v>93347793</v>
      </c>
      <c r="L15" s="55">
        <v>106370505</v>
      </c>
      <c r="M15" s="55">
        <v>114130144</v>
      </c>
      <c r="N15" s="27"/>
      <c r="O15" s="78"/>
      <c r="P15" s="27"/>
      <c r="Q15" s="41"/>
      <c r="R15" s="41"/>
      <c r="S15" s="11"/>
      <c r="T15" s="47"/>
      <c r="U15" s="11"/>
    </row>
    <row r="16" spans="1:21" ht="16.5" customHeight="1">
      <c r="A16" s="59" t="s">
        <v>38</v>
      </c>
      <c r="B16" s="13">
        <v>65289741.084009424</v>
      </c>
      <c r="C16" s="13">
        <v>59114287.31808762</v>
      </c>
      <c r="D16" s="13">
        <v>70812613.53456357</v>
      </c>
      <c r="E16" s="13">
        <v>63274507.29327797</v>
      </c>
      <c r="F16" s="13">
        <v>64788112.86319508</v>
      </c>
      <c r="G16" s="13">
        <v>71365660.5672656</v>
      </c>
      <c r="H16" s="13">
        <f>69158589348818.5/1000000</f>
        <v>69158589.3488185</v>
      </c>
      <c r="I16" s="13">
        <f>75619382927567/1000000</f>
        <v>75619382.927567</v>
      </c>
      <c r="J16" s="13">
        <f>70257396398306.2/1000000</f>
        <v>70257396.3983062</v>
      </c>
      <c r="K16" s="13">
        <f>59537944273508.3/1000000</f>
        <v>59537944.273508295</v>
      </c>
      <c r="L16" s="12">
        <f>64767923968710.6/1000000</f>
        <v>64767923.9687106</v>
      </c>
      <c r="M16" s="13">
        <f>74779002794249.6/1000000</f>
        <v>74779002.7942496</v>
      </c>
      <c r="N16" s="27"/>
      <c r="O16" s="10"/>
      <c r="P16" s="10"/>
      <c r="Q16" s="41"/>
      <c r="R16" s="41"/>
      <c r="S16" s="38"/>
      <c r="U16" s="40"/>
    </row>
    <row r="17" spans="1:18" ht="16.5" customHeight="1">
      <c r="A17" s="59" t="s">
        <v>35</v>
      </c>
      <c r="B17" s="13">
        <v>7850162.067956</v>
      </c>
      <c r="C17" s="13">
        <v>10493670.397965</v>
      </c>
      <c r="D17" s="13">
        <v>11094361.956603</v>
      </c>
      <c r="E17" s="13">
        <v>10889689.809709</v>
      </c>
      <c r="F17" s="13">
        <v>11249004.75111</v>
      </c>
      <c r="G17" s="13">
        <v>12142079.103622</v>
      </c>
      <c r="H17" s="13">
        <f>10547724407858/1000000</f>
        <v>10547724.407858</v>
      </c>
      <c r="I17" s="13">
        <f>16410821368171/1000000</f>
        <v>16410821.368171</v>
      </c>
      <c r="J17" s="13">
        <f>13453406691761/1000000</f>
        <v>13453406.691761</v>
      </c>
      <c r="K17" s="13">
        <f>10380663643735/1000000</f>
        <v>10380663.643735</v>
      </c>
      <c r="L17" s="12">
        <f>12619472427553/1000000</f>
        <v>12619472.427553</v>
      </c>
      <c r="M17" s="13">
        <f>12848891538406/1000000</f>
        <v>12848891.538406</v>
      </c>
      <c r="N17" s="27"/>
      <c r="O17" s="10"/>
      <c r="P17" s="10"/>
      <c r="Q17" s="41"/>
      <c r="R17" s="41"/>
    </row>
    <row r="18" spans="1:21" ht="16.5" customHeight="1">
      <c r="A18" s="59" t="s">
        <v>36</v>
      </c>
      <c r="B18" s="13">
        <v>3097502.1191722197</v>
      </c>
      <c r="C18" s="13">
        <v>2961261.83588733</v>
      </c>
      <c r="D18" s="13">
        <v>3102482.32213049</v>
      </c>
      <c r="E18" s="13">
        <v>2748354.54885275</v>
      </c>
      <c r="F18" s="13">
        <v>3034977.41806699</v>
      </c>
      <c r="G18" s="13">
        <v>3509472.5174214398</v>
      </c>
      <c r="H18" s="13">
        <f>3393856176851.23/1000000</f>
        <v>3393856.17685123</v>
      </c>
      <c r="I18" s="13">
        <f>3314870216012.55/1000000</f>
        <v>3314870.2160125496</v>
      </c>
      <c r="J18" s="13">
        <f>3439599197901.92/1000000</f>
        <v>3439599.19790192</v>
      </c>
      <c r="K18" s="13">
        <f>3206203297103.76/1000000</f>
        <v>3206203.29710376</v>
      </c>
      <c r="L18" s="12">
        <f>3903746089033.18/1000000</f>
        <v>3903746.0890331804</v>
      </c>
      <c r="M18" s="13">
        <f>4350440403995.54/1000000</f>
        <v>4350440.40399554</v>
      </c>
      <c r="N18" s="27"/>
      <c r="O18" s="10"/>
      <c r="P18" s="10"/>
      <c r="Q18" s="41"/>
      <c r="R18" s="41"/>
      <c r="T18" s="11"/>
      <c r="U18" s="8"/>
    </row>
    <row r="19" spans="1:21" ht="16.5" customHeight="1">
      <c r="A19" s="63" t="s">
        <v>50</v>
      </c>
      <c r="B19" s="13">
        <v>14709021.255555</v>
      </c>
      <c r="C19" s="13">
        <v>15832858.945521</v>
      </c>
      <c r="D19" s="13">
        <v>20994030.385763</v>
      </c>
      <c r="E19" s="13">
        <v>18481228.431618</v>
      </c>
      <c r="F19" s="13">
        <v>18214922.54869</v>
      </c>
      <c r="G19" s="13">
        <v>21346547.310355</v>
      </c>
      <c r="H19" s="13">
        <f>17605001410107/1000000</f>
        <v>17605001.410107</v>
      </c>
      <c r="I19" s="13">
        <f>21403543367980/1000000</f>
        <v>21403543.36798</v>
      </c>
      <c r="J19" s="13">
        <f>17004125374067/1000000</f>
        <v>17004125.374067</v>
      </c>
      <c r="K19" s="13">
        <f>17008880507393/1000000</f>
        <v>17008880.507393</v>
      </c>
      <c r="L19" s="12">
        <f>21576298022810/1000000</f>
        <v>21576298.02281</v>
      </c>
      <c r="M19" s="13">
        <f>15308507865576/1000000</f>
        <v>15308507.865576</v>
      </c>
      <c r="N19" s="27"/>
      <c r="O19" s="10"/>
      <c r="P19" s="10"/>
      <c r="Q19" s="10"/>
      <c r="R19" s="49"/>
      <c r="S19" s="50"/>
      <c r="U19" s="40"/>
    </row>
    <row r="20" spans="1:18" ht="16.5" customHeight="1">
      <c r="A20" s="71" t="s">
        <v>37</v>
      </c>
      <c r="B20" s="13">
        <f>+B15-SUM(B16:B19)</f>
        <v>2970259.572459355</v>
      </c>
      <c r="C20" s="13">
        <f aca="true" t="shared" si="2" ref="C20:J20">+C15-SUM(C16:C19)</f>
        <v>1765350.76059106</v>
      </c>
      <c r="D20" s="13">
        <f t="shared" si="2"/>
        <v>4114714.3243745863</v>
      </c>
      <c r="E20" s="13">
        <f t="shared" si="2"/>
        <v>2054830.3564082682</v>
      </c>
      <c r="F20" s="13">
        <f t="shared" si="2"/>
        <v>2857434.9654909223</v>
      </c>
      <c r="G20" s="13">
        <f t="shared" si="2"/>
        <v>3698996.3474959284</v>
      </c>
      <c r="H20" s="13">
        <f t="shared" si="2"/>
        <v>1814427.1814122796</v>
      </c>
      <c r="I20" s="13">
        <f t="shared" si="2"/>
        <v>3392889.3916044384</v>
      </c>
      <c r="J20" s="13">
        <f t="shared" si="2"/>
        <v>1980248.941908881</v>
      </c>
      <c r="K20" s="13">
        <f>K15-(SUM(K16:K19))</f>
        <v>3214101.278259933</v>
      </c>
      <c r="L20" s="13">
        <f>L15-(SUM(L16:L19))</f>
        <v>3503064.491893217</v>
      </c>
      <c r="M20" s="13">
        <f>M15-(SUM(M16:M19))</f>
        <v>6843301.3977728635</v>
      </c>
      <c r="N20" s="27"/>
      <c r="O20" s="10"/>
      <c r="P20" s="10"/>
      <c r="Q20" s="10"/>
      <c r="R20" s="28"/>
    </row>
    <row r="21" spans="1:18" ht="16.5" customHeight="1">
      <c r="A21" s="57" t="s">
        <v>25</v>
      </c>
      <c r="B21" s="61">
        <v>2401779.923862</v>
      </c>
      <c r="C21" s="61">
        <v>2095335.003772</v>
      </c>
      <c r="D21" s="61">
        <v>3017710.74431</v>
      </c>
      <c r="E21" s="61">
        <v>1616077.315834</v>
      </c>
      <c r="F21" s="61">
        <f>2169744614751/1000000</f>
        <v>2169744.614751</v>
      </c>
      <c r="G21" s="61">
        <v>1730997.074668</v>
      </c>
      <c r="H21" s="61">
        <v>1797813.525533</v>
      </c>
      <c r="I21" s="61">
        <v>3466411.040117</v>
      </c>
      <c r="J21" s="61">
        <f>2147466081659/1000000</f>
        <v>2147466.081659</v>
      </c>
      <c r="K21" s="61">
        <f>3332824282509/1000000</f>
        <v>3332824.282509</v>
      </c>
      <c r="L21" s="61">
        <f>2441584040955/1000000</f>
        <v>2441584.040955</v>
      </c>
      <c r="M21" s="13">
        <f>8499017875647/1000000</f>
        <v>8499017.875647</v>
      </c>
      <c r="N21" s="27"/>
      <c r="O21" s="3"/>
      <c r="P21" s="3"/>
      <c r="Q21" s="81"/>
      <c r="R21" s="8"/>
    </row>
    <row r="22" spans="1:21" ht="16.5" customHeight="1">
      <c r="A22" s="64" t="s">
        <v>47</v>
      </c>
      <c r="B22" s="56">
        <f>B14+B6</f>
        <v>100782477.38038999</v>
      </c>
      <c r="C22" s="56">
        <f>C14+C6</f>
        <v>96432372.017173</v>
      </c>
      <c r="D22" s="56">
        <f>D14+D6</f>
        <v>118084319.78091367</v>
      </c>
      <c r="E22" s="56">
        <f>E14+E6</f>
        <v>103654317.96854901</v>
      </c>
      <c r="F22" s="56">
        <f>F6+F14</f>
        <v>107099880.946339</v>
      </c>
      <c r="G22" s="56">
        <f>G6+G14</f>
        <v>118717988.92983899</v>
      </c>
      <c r="H22" s="56">
        <f>H6+H14</f>
        <v>109253374.06120801</v>
      </c>
      <c r="I22" s="56">
        <f>I6+I14</f>
        <v>128371300.683899</v>
      </c>
      <c r="J22" s="56">
        <f>J6+J14</f>
        <v>113325852.31906901</v>
      </c>
      <c r="K22" s="56">
        <f>K6+K14</f>
        <v>101743403.36780399</v>
      </c>
      <c r="L22" s="56">
        <f>L6+L14</f>
        <v>113972589.249851</v>
      </c>
      <c r="M22" s="56">
        <f>M6+M14</f>
        <v>129133161.77234699</v>
      </c>
      <c r="N22" s="6"/>
      <c r="O22" s="6"/>
      <c r="P22" s="6"/>
      <c r="Q22" s="41"/>
      <c r="R22" s="11"/>
      <c r="S22" s="11"/>
      <c r="T22" s="11"/>
      <c r="U22" s="11"/>
    </row>
    <row r="23" spans="1:21" ht="16.5" customHeight="1">
      <c r="A23" s="2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1"/>
      <c r="S23" s="11"/>
      <c r="T23" s="11"/>
      <c r="U23" s="11"/>
    </row>
    <row r="24" spans="1:17" ht="16.5" customHeight="1">
      <c r="A24" s="93"/>
      <c r="B24" s="88" t="s">
        <v>28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19"/>
      <c r="O24" s="19"/>
      <c r="P24" s="19"/>
      <c r="Q24" s="19"/>
    </row>
    <row r="25" spans="1:17" ht="16.5" customHeight="1">
      <c r="A25" s="93"/>
      <c r="B25" s="83" t="s">
        <v>52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19"/>
      <c r="O25" s="19"/>
      <c r="P25" s="19"/>
      <c r="Q25" s="19"/>
    </row>
    <row r="26" spans="1:17" ht="16.5" customHeight="1">
      <c r="A26" s="94"/>
      <c r="B26" s="53" t="s">
        <v>4</v>
      </c>
      <c r="C26" s="53" t="s">
        <v>5</v>
      </c>
      <c r="D26" s="53" t="s">
        <v>6</v>
      </c>
      <c r="E26" s="53" t="s">
        <v>7</v>
      </c>
      <c r="F26" s="54" t="s">
        <v>8</v>
      </c>
      <c r="G26" s="53" t="s">
        <v>9</v>
      </c>
      <c r="H26" s="53" t="s">
        <v>10</v>
      </c>
      <c r="I26" s="53" t="s">
        <v>24</v>
      </c>
      <c r="J26" s="55" t="s">
        <v>0</v>
      </c>
      <c r="K26" s="54" t="s">
        <v>1</v>
      </c>
      <c r="L26" s="56" t="s">
        <v>2</v>
      </c>
      <c r="M26" s="53" t="s">
        <v>3</v>
      </c>
      <c r="N26" s="21"/>
      <c r="O26" s="21"/>
      <c r="P26" s="21"/>
      <c r="Q26" s="21"/>
    </row>
    <row r="27" spans="1:17" ht="16.5" customHeight="1">
      <c r="A27" s="57" t="s">
        <v>11</v>
      </c>
      <c r="B27" s="65">
        <f aca="true" t="shared" si="3" ref="B27:J27">B6/B22*100</f>
        <v>4.429352674599559</v>
      </c>
      <c r="C27" s="65">
        <f t="shared" si="3"/>
        <v>4.3238672534223905</v>
      </c>
      <c r="D27" s="65">
        <f t="shared" si="3"/>
        <v>4.190570367301914</v>
      </c>
      <c r="E27" s="65">
        <f t="shared" si="3"/>
        <v>4.427823464374725</v>
      </c>
      <c r="F27" s="65">
        <f t="shared" si="3"/>
        <v>4.468430536755503</v>
      </c>
      <c r="G27" s="65">
        <f t="shared" si="3"/>
        <v>4.147843181475362</v>
      </c>
      <c r="H27" s="65">
        <f t="shared" si="3"/>
        <v>4.5179035000444765</v>
      </c>
      <c r="I27" s="65">
        <f t="shared" si="3"/>
        <v>3.7106287363842596</v>
      </c>
      <c r="J27" s="65">
        <f t="shared" si="3"/>
        <v>4.450537569543015</v>
      </c>
      <c r="K27" s="65">
        <f>K6/K22*100</f>
        <v>4.976033745394724</v>
      </c>
      <c r="L27" s="65">
        <f>L6/L22*100</f>
        <v>4.527843267281695</v>
      </c>
      <c r="M27" s="65">
        <f>M6/M22*100</f>
        <v>5.036661232043641</v>
      </c>
      <c r="N27" s="22"/>
      <c r="O27" s="22"/>
      <c r="P27" s="22"/>
      <c r="Q27" s="22"/>
    </row>
    <row r="28" spans="1:17" ht="16.5" customHeight="1">
      <c r="A28" s="59" t="s">
        <v>29</v>
      </c>
      <c r="B28" s="15">
        <f aca="true" t="shared" si="4" ref="B28:J28">B7/B6*100</f>
        <v>87.38215702172648</v>
      </c>
      <c r="C28" s="15">
        <f t="shared" si="4"/>
        <v>85.33127396790813</v>
      </c>
      <c r="D28" s="15">
        <f t="shared" si="4"/>
        <v>86.06461358783177</v>
      </c>
      <c r="E28" s="15">
        <f t="shared" si="4"/>
        <v>85.56228150148354</v>
      </c>
      <c r="F28" s="15">
        <f t="shared" si="4"/>
        <v>86.18851245941302</v>
      </c>
      <c r="G28" s="15">
        <f t="shared" si="4"/>
        <v>86.0103080638623</v>
      </c>
      <c r="H28" s="15">
        <f t="shared" si="4"/>
        <v>87.38098509524887</v>
      </c>
      <c r="I28" s="15">
        <f t="shared" si="4"/>
        <v>87.12503761225557</v>
      </c>
      <c r="J28" s="15">
        <f t="shared" si="4"/>
        <v>87.11681519472398</v>
      </c>
      <c r="K28" s="15">
        <f>K7/K6*100</f>
        <v>85.0956277183686</v>
      </c>
      <c r="L28" s="15">
        <f>L7/L6*100</f>
        <v>87.87775660102474</v>
      </c>
      <c r="M28" s="15">
        <f>M7/M6*100</f>
        <v>87.5462125603665</v>
      </c>
      <c r="N28" s="23"/>
      <c r="O28" s="23"/>
      <c r="P28" s="23"/>
      <c r="Q28" s="23"/>
    </row>
    <row r="29" spans="1:17" ht="16.5" customHeight="1">
      <c r="A29" s="59" t="s">
        <v>30</v>
      </c>
      <c r="B29" s="15">
        <f aca="true" t="shared" si="5" ref="B29:J29">B8/B6*100</f>
        <v>0.4615608775939889</v>
      </c>
      <c r="C29" s="15">
        <f t="shared" si="5"/>
        <v>0.46896363342367475</v>
      </c>
      <c r="D29" s="15">
        <f t="shared" si="5"/>
        <v>0.38302488737656154</v>
      </c>
      <c r="E29" s="15">
        <f t="shared" si="5"/>
        <v>0.4358690840058352</v>
      </c>
      <c r="F29" s="15">
        <f t="shared" si="5"/>
        <v>0.4096382242032447</v>
      </c>
      <c r="G29" s="15">
        <f t="shared" si="5"/>
        <v>0.3757644242302737</v>
      </c>
      <c r="H29" s="15">
        <f t="shared" si="5"/>
        <v>0.3890593575406531</v>
      </c>
      <c r="I29" s="15">
        <f t="shared" si="5"/>
        <v>0.4115564173347943</v>
      </c>
      <c r="J29" s="15">
        <f t="shared" si="5"/>
        <v>0.4085135773651261</v>
      </c>
      <c r="K29" s="15">
        <f>K8/K6*100</f>
        <v>0.38523900434287356</v>
      </c>
      <c r="L29" s="15">
        <f>L8/L6*100</f>
        <v>0.4215610404878568</v>
      </c>
      <c r="M29" s="15">
        <f>M8/M6*100</f>
        <v>0.30449482113381227</v>
      </c>
      <c r="N29" s="23"/>
      <c r="O29" s="23"/>
      <c r="P29" s="23"/>
      <c r="Q29" s="23"/>
    </row>
    <row r="30" spans="1:17" ht="16.5" customHeight="1">
      <c r="A30" s="59" t="s">
        <v>31</v>
      </c>
      <c r="B30" s="15">
        <f aca="true" t="shared" si="6" ref="B30:J30">B9/B6*100</f>
        <v>10.442386846233479</v>
      </c>
      <c r="C30" s="15">
        <f t="shared" si="6"/>
        <v>12.372061730775956</v>
      </c>
      <c r="D30" s="15">
        <f t="shared" si="6"/>
        <v>11.753493524191724</v>
      </c>
      <c r="E30" s="15">
        <f t="shared" si="6"/>
        <v>12.180917826448717</v>
      </c>
      <c r="F30" s="15">
        <f t="shared" si="6"/>
        <v>11.5702192500575</v>
      </c>
      <c r="G30" s="15">
        <f t="shared" si="6"/>
        <v>11.835710733045369</v>
      </c>
      <c r="H30" s="15">
        <f t="shared" si="6"/>
        <v>10.651193166539594</v>
      </c>
      <c r="I30" s="15">
        <f t="shared" si="6"/>
        <v>10.885899703546622</v>
      </c>
      <c r="J30" s="15">
        <f t="shared" si="6"/>
        <v>10.79918862070632</v>
      </c>
      <c r="K30" s="15">
        <f>K9/K6*100</f>
        <v>12.956358663626588</v>
      </c>
      <c r="L30" s="15">
        <f>L9/L6*100</f>
        <v>10.162167211561655</v>
      </c>
      <c r="M30" s="15">
        <f>M9/M6*100</f>
        <v>10.931290362607978</v>
      </c>
      <c r="N30" s="23"/>
      <c r="O30" s="23"/>
      <c r="P30" s="23"/>
      <c r="Q30" s="23"/>
    </row>
    <row r="31" spans="1:17" ht="16.5" customHeight="1">
      <c r="A31" s="59" t="s">
        <v>32</v>
      </c>
      <c r="B31" s="15">
        <f aca="true" t="shared" si="7" ref="B31:J31">B10/B6*100</f>
        <v>0.6939661894858993</v>
      </c>
      <c r="C31" s="15">
        <f t="shared" si="7"/>
        <v>0.6493617374024124</v>
      </c>
      <c r="D31" s="15">
        <f t="shared" si="7"/>
        <v>0.5773458009961253</v>
      </c>
      <c r="E31" s="15">
        <f t="shared" si="7"/>
        <v>0.6186388879546567</v>
      </c>
      <c r="F31" s="15">
        <f t="shared" si="7"/>
        <v>0.5603999918018792</v>
      </c>
      <c r="G31" s="15">
        <f t="shared" si="7"/>
        <v>0.5163685473334345</v>
      </c>
      <c r="H31" s="15">
        <f t="shared" si="7"/>
        <v>0.5618155939468382</v>
      </c>
      <c r="I31" s="15">
        <f t="shared" si="7"/>
        <v>0.5478425778696051</v>
      </c>
      <c r="J31" s="15">
        <f t="shared" si="7"/>
        <v>0.5122603142910205</v>
      </c>
      <c r="K31" s="15">
        <f>K10/K6*100</f>
        <v>0.5338887702861543</v>
      </c>
      <c r="L31" s="15">
        <f>L10/L6*100</f>
        <v>0.5229813562932442</v>
      </c>
      <c r="M31" s="15">
        <f>M10/M6*100</f>
        <v>0.42954959372270496</v>
      </c>
      <c r="N31" s="23"/>
      <c r="O31" s="23"/>
      <c r="P31" s="23"/>
      <c r="Q31" s="23"/>
    </row>
    <row r="32" spans="1:17" ht="16.5" customHeight="1">
      <c r="A32" s="59" t="s">
        <v>33</v>
      </c>
      <c r="B32" s="15">
        <f aca="true" t="shared" si="8" ref="B32:J32">B11/B6*100</f>
        <v>0.6631219690578996</v>
      </c>
      <c r="C32" s="15">
        <f t="shared" si="8"/>
        <v>0.6932417652456275</v>
      </c>
      <c r="D32" s="15">
        <f t="shared" si="8"/>
        <v>0.6318275992644222</v>
      </c>
      <c r="E32" s="15">
        <f t="shared" si="8"/>
        <v>0.6301660118723719</v>
      </c>
      <c r="F32" s="15">
        <f t="shared" si="8"/>
        <v>0.7705997176896694</v>
      </c>
      <c r="G32" s="15">
        <f t="shared" si="8"/>
        <v>0.6526123903117781</v>
      </c>
      <c r="H32" s="15">
        <f t="shared" si="8"/>
        <v>0.638196056213004</v>
      </c>
      <c r="I32" s="15">
        <f t="shared" si="8"/>
        <v>0.6313775792798719</v>
      </c>
      <c r="J32" s="15">
        <f t="shared" si="8"/>
        <v>0.761880724055974</v>
      </c>
      <c r="K32" s="15">
        <f>K11/K6*100</f>
        <v>0.6958633618616973</v>
      </c>
      <c r="L32" s="15">
        <f>L11/L6*100</f>
        <v>0.6579371377695115</v>
      </c>
      <c r="M32" s="15">
        <f>M11/M6*100</f>
        <v>0.4664620462001121</v>
      </c>
      <c r="N32" s="23"/>
      <c r="O32" s="23"/>
      <c r="P32" s="23"/>
      <c r="Q32" s="23"/>
    </row>
    <row r="33" spans="1:17" ht="16.5" customHeight="1">
      <c r="A33" s="59" t="s">
        <v>34</v>
      </c>
      <c r="B33" s="15">
        <f aca="true" t="shared" si="9" ref="B33:I33">B12/B6*100</f>
        <v>0.05004101341070683</v>
      </c>
      <c r="C33" s="15">
        <f t="shared" si="9"/>
        <v>0.05947873336091344</v>
      </c>
      <c r="D33" s="15">
        <f t="shared" si="9"/>
        <v>0.05865805216841665</v>
      </c>
      <c r="E33" s="15">
        <f t="shared" si="9"/>
        <v>0.05666672394910798</v>
      </c>
      <c r="F33" s="15">
        <f t="shared" si="9"/>
        <v>0.06103819362521121</v>
      </c>
      <c r="G33" s="15">
        <f t="shared" si="9"/>
        <v>0.06264135706240291</v>
      </c>
      <c r="H33" s="15">
        <f t="shared" si="9"/>
        <v>0.054283892729131776</v>
      </c>
      <c r="I33" s="15">
        <f t="shared" si="9"/>
        <v>0.0713193968985281</v>
      </c>
      <c r="J33" s="15">
        <f>J12/J6*100</f>
        <v>0.05652168266721157</v>
      </c>
      <c r="K33" s="15">
        <f>K12/K6*100</f>
        <v>0.07292532202226892</v>
      </c>
      <c r="L33" s="15">
        <f>L12/L6*100</f>
        <v>0.06295956385001433</v>
      </c>
      <c r="M33" s="15">
        <f>M12/M6*100</f>
        <v>0.06208318690239748</v>
      </c>
      <c r="N33" s="23"/>
      <c r="O33" s="23"/>
      <c r="P33" s="23"/>
      <c r="Q33" s="23"/>
    </row>
    <row r="34" spans="1:17" ht="16.5" customHeight="1">
      <c r="A34" s="59" t="s">
        <v>49</v>
      </c>
      <c r="B34" s="15">
        <f aca="true" t="shared" si="10" ref="B34:H34">B13/B6*100</f>
        <v>0.306766082491545</v>
      </c>
      <c r="C34" s="15">
        <f t="shared" si="10"/>
        <v>0.42561843188327886</v>
      </c>
      <c r="D34" s="15">
        <f t="shared" si="10"/>
        <v>0.5310365481709677</v>
      </c>
      <c r="E34" s="15">
        <f t="shared" si="10"/>
        <v>0.515459964285762</v>
      </c>
      <c r="F34" s="15">
        <f t="shared" si="10"/>
        <v>0.4395921632094658</v>
      </c>
      <c r="G34" s="15">
        <f t="shared" si="10"/>
        <v>0.5465944841544225</v>
      </c>
      <c r="H34" s="15">
        <f t="shared" si="10"/>
        <v>0.32446683778188856</v>
      </c>
      <c r="I34" s="15">
        <f>I13/I6*100</f>
        <v>0.3269667128150186</v>
      </c>
      <c r="J34" s="15">
        <f>J13/J6*100</f>
        <v>0.3448198861903591</v>
      </c>
      <c r="K34" s="15">
        <f>K13/K6*100</f>
        <v>0.26009715949183176</v>
      </c>
      <c r="L34" s="15">
        <f>L13/L6*100</f>
        <v>0.2946370890129814</v>
      </c>
      <c r="M34" s="15">
        <f>M13/M6*100</f>
        <v>0.2599074290664879</v>
      </c>
      <c r="N34" s="23"/>
      <c r="O34" s="23"/>
      <c r="P34" s="23"/>
      <c r="Q34" s="23"/>
    </row>
    <row r="35" spans="1:17" ht="16.5" customHeight="1">
      <c r="A35" s="57" t="s">
        <v>18</v>
      </c>
      <c r="B35" s="65">
        <f aca="true" t="shared" si="11" ref="B35:J35">B14/B22*100</f>
        <v>95.57064732540044</v>
      </c>
      <c r="C35" s="65">
        <f t="shared" si="11"/>
        <v>95.67613274657761</v>
      </c>
      <c r="D35" s="65">
        <f t="shared" si="11"/>
        <v>95.80942963269808</v>
      </c>
      <c r="E35" s="65">
        <f t="shared" si="11"/>
        <v>95.57217653562526</v>
      </c>
      <c r="F35" s="65">
        <f t="shared" si="11"/>
        <v>95.53156946324451</v>
      </c>
      <c r="G35" s="65">
        <f t="shared" si="11"/>
        <v>95.85215681852463</v>
      </c>
      <c r="H35" s="65">
        <f t="shared" si="11"/>
        <v>95.48209649995553</v>
      </c>
      <c r="I35" s="65">
        <f t="shared" si="11"/>
        <v>96.28937126361575</v>
      </c>
      <c r="J35" s="65">
        <f t="shared" si="11"/>
        <v>95.54946243045698</v>
      </c>
      <c r="K35" s="65">
        <f>K14/K22*100</f>
        <v>95.02396625460528</v>
      </c>
      <c r="L35" s="65">
        <f>L14/L22*100</f>
        <v>95.4721567327183</v>
      </c>
      <c r="M35" s="65">
        <f>M14/M22*100</f>
        <v>94.96333876795636</v>
      </c>
      <c r="N35" s="22"/>
      <c r="O35" s="22"/>
      <c r="P35" s="22"/>
      <c r="Q35" s="22"/>
    </row>
    <row r="36" spans="1:17" ht="16.5" customHeight="1">
      <c r="A36" s="66" t="s">
        <v>19</v>
      </c>
      <c r="B36" s="75">
        <f aca="true" t="shared" si="12" ref="B36:I36">B15/B14*100</f>
        <v>97.50641800785311</v>
      </c>
      <c r="C36" s="75">
        <f t="shared" si="12"/>
        <v>97.72894837853995</v>
      </c>
      <c r="D36" s="75">
        <f t="shared" si="12"/>
        <v>97.33266771165017</v>
      </c>
      <c r="E36" s="75">
        <f t="shared" si="12"/>
        <v>98.36866460446598</v>
      </c>
      <c r="F36" s="75">
        <f t="shared" si="12"/>
        <v>97.87933182788868</v>
      </c>
      <c r="G36" s="75">
        <f t="shared" si="12"/>
        <v>98.47882943462429</v>
      </c>
      <c r="H36" s="75">
        <f t="shared" si="12"/>
        <v>98.27659305364928</v>
      </c>
      <c r="I36" s="75">
        <f t="shared" si="12"/>
        <v>97.195639982074</v>
      </c>
      <c r="J36" s="75">
        <f>J15/J14*100</f>
        <v>98.01678832244531</v>
      </c>
      <c r="K36" s="75">
        <f>K15/K14*100</f>
        <v>96.55274823828421</v>
      </c>
      <c r="L36" s="75">
        <f>L15/L14*100</f>
        <v>97.75614634139039</v>
      </c>
      <c r="M36" s="75">
        <f>M15/M14*100</f>
        <v>93.06933379821555</v>
      </c>
      <c r="N36" s="23"/>
      <c r="O36" s="23"/>
      <c r="P36" s="23"/>
      <c r="Q36" s="23"/>
    </row>
    <row r="37" spans="1:17" ht="16.5" customHeight="1">
      <c r="A37" s="59" t="s">
        <v>39</v>
      </c>
      <c r="B37" s="15">
        <f aca="true" t="shared" si="13" ref="B37:I37">B16/B15*100</f>
        <v>69.51878712487806</v>
      </c>
      <c r="C37" s="15">
        <f t="shared" si="13"/>
        <v>65.5605774773807</v>
      </c>
      <c r="D37" s="15">
        <f t="shared" si="13"/>
        <v>64.30600201587352</v>
      </c>
      <c r="E37" s="15">
        <f t="shared" si="13"/>
        <v>64.93115397712486</v>
      </c>
      <c r="F37" s="15">
        <f t="shared" si="13"/>
        <v>64.69465977965956</v>
      </c>
      <c r="G37" s="15">
        <f t="shared" si="13"/>
        <v>63.68365656225387</v>
      </c>
      <c r="H37" s="15">
        <f t="shared" si="13"/>
        <v>67.45889600018484</v>
      </c>
      <c r="I37" s="15">
        <f t="shared" si="13"/>
        <v>62.94192960038658</v>
      </c>
      <c r="J37" s="15">
        <f>J16/J15*100</f>
        <v>66.19639541945836</v>
      </c>
      <c r="K37" s="15">
        <f>K16/K15*100</f>
        <v>63.7807733424488</v>
      </c>
      <c r="L37" s="15">
        <f>L16/L15*100</f>
        <v>60.88898794709172</v>
      </c>
      <c r="M37" s="15">
        <f>M16/M15*100</f>
        <v>65.52081700190406</v>
      </c>
      <c r="N37" s="23"/>
      <c r="O37" s="23"/>
      <c r="P37" s="23"/>
      <c r="Q37" s="23"/>
    </row>
    <row r="38" spans="1:17" ht="16.5" customHeight="1">
      <c r="A38" s="59" t="s">
        <v>42</v>
      </c>
      <c r="B38" s="15">
        <f aca="true" t="shared" si="14" ref="B38:I38">B17/B15*100</f>
        <v>8.358644660511377</v>
      </c>
      <c r="C38" s="15">
        <f t="shared" si="14"/>
        <v>11.637983343112678</v>
      </c>
      <c r="D38" s="15">
        <f t="shared" si="14"/>
        <v>10.07495736614659</v>
      </c>
      <c r="E38" s="15">
        <f t="shared" si="14"/>
        <v>11.174802555474974</v>
      </c>
      <c r="F38" s="15">
        <f t="shared" si="14"/>
        <v>11.232778716205779</v>
      </c>
      <c r="G38" s="15">
        <f t="shared" si="14"/>
        <v>10.835070949255146</v>
      </c>
      <c r="H38" s="15">
        <f t="shared" si="14"/>
        <v>10.288495623869458</v>
      </c>
      <c r="I38" s="15">
        <f t="shared" si="14"/>
        <v>13.659576728222486</v>
      </c>
      <c r="J38" s="15">
        <f>J17/J15*100</f>
        <v>12.675776142596545</v>
      </c>
      <c r="K38" s="15">
        <f>K17/K15*100</f>
        <v>11.120416787716664</v>
      </c>
      <c r="L38" s="15">
        <f>L17/L15*100</f>
        <v>11.863695135745571</v>
      </c>
      <c r="M38" s="15">
        <f>M17/M15*100</f>
        <v>11.258105079063073</v>
      </c>
      <c r="N38" s="23"/>
      <c r="O38" s="23"/>
      <c r="P38" s="23"/>
      <c r="Q38" s="23"/>
    </row>
    <row r="39" spans="1:17" ht="16.5" customHeight="1">
      <c r="A39" s="59" t="s">
        <v>40</v>
      </c>
      <c r="B39" s="15">
        <f aca="true" t="shared" si="15" ref="B39:I39">B18/B15*100</f>
        <v>3.2981382199772784</v>
      </c>
      <c r="C39" s="15">
        <f t="shared" si="15"/>
        <v>3.2841812839228615</v>
      </c>
      <c r="D39" s="15">
        <f t="shared" si="15"/>
        <v>2.817410973876221</v>
      </c>
      <c r="E39" s="15">
        <f t="shared" si="15"/>
        <v>2.820311686792821</v>
      </c>
      <c r="F39" s="15">
        <f t="shared" si="15"/>
        <v>3.0305996397116006</v>
      </c>
      <c r="G39" s="15">
        <f t="shared" si="15"/>
        <v>3.131702848928017</v>
      </c>
      <c r="H39" s="15">
        <f t="shared" si="15"/>
        <v>3.3104462226527964</v>
      </c>
      <c r="I39" s="15">
        <f t="shared" si="15"/>
        <v>2.759138195699544</v>
      </c>
      <c r="J39" s="15">
        <f>J18/J15*100</f>
        <v>3.240784319674227</v>
      </c>
      <c r="K39" s="15">
        <f>K18/K15*100</f>
        <v>3.4346856996434396</v>
      </c>
      <c r="L39" s="15">
        <f>L18/L15*100</f>
        <v>3.6699516365304277</v>
      </c>
      <c r="M39" s="15">
        <f>M18/M15*100</f>
        <v>3.8118241610170402</v>
      </c>
      <c r="N39" s="23"/>
      <c r="O39" s="23"/>
      <c r="P39" s="23"/>
      <c r="Q39" s="23"/>
    </row>
    <row r="40" spans="1:17" ht="16.5" customHeight="1">
      <c r="A40" s="63" t="s">
        <v>51</v>
      </c>
      <c r="B40" s="15">
        <f aca="true" t="shared" si="16" ref="B40:J40">B19/B15*100</f>
        <v>15.661776268410957</v>
      </c>
      <c r="C40" s="15">
        <f t="shared" si="16"/>
        <v>17.559399303942246</v>
      </c>
      <c r="D40" s="15">
        <f t="shared" si="16"/>
        <v>19.064995527233734</v>
      </c>
      <c r="E40" s="15">
        <f t="shared" si="16"/>
        <v>18.96510206579341</v>
      </c>
      <c r="F40" s="15">
        <f t="shared" si="16"/>
        <v>18.188648582628815</v>
      </c>
      <c r="G40" s="15">
        <f t="shared" si="16"/>
        <v>19.048743848187698</v>
      </c>
      <c r="H40" s="15">
        <f t="shared" si="16"/>
        <v>17.172327694792767</v>
      </c>
      <c r="I40" s="15">
        <f t="shared" si="16"/>
        <v>17.815277878644316</v>
      </c>
      <c r="J40" s="15">
        <f t="shared" si="16"/>
        <v>16.021257045200173</v>
      </c>
      <c r="K40" s="15">
        <f>K19/K15*100</f>
        <v>18.220977658671586</v>
      </c>
      <c r="L40" s="15">
        <f>L19/L15*100</f>
        <v>20.284098512844327</v>
      </c>
      <c r="M40" s="15">
        <f>M19/M15*100</f>
        <v>13.41320297079096</v>
      </c>
      <c r="N40" s="23"/>
      <c r="O40" s="23"/>
      <c r="P40" s="23"/>
      <c r="Q40" s="23"/>
    </row>
    <row r="41" spans="1:17" ht="16.5" customHeight="1">
      <c r="A41" s="71" t="s">
        <v>41</v>
      </c>
      <c r="B41" s="77">
        <f aca="true" t="shared" si="17" ref="B41:J41">B20/B15*100</f>
        <v>3.1626537262223255</v>
      </c>
      <c r="C41" s="77">
        <f t="shared" si="17"/>
        <v>1.957858591641519</v>
      </c>
      <c r="D41" s="77">
        <f t="shared" si="17"/>
        <v>3.736634116869933</v>
      </c>
      <c r="E41" s="77">
        <f t="shared" si="17"/>
        <v>2.1086297148139135</v>
      </c>
      <c r="F41" s="77">
        <f t="shared" si="17"/>
        <v>2.8533132817942355</v>
      </c>
      <c r="G41" s="77">
        <f t="shared" si="17"/>
        <v>3.300825791375254</v>
      </c>
      <c r="H41" s="77">
        <f t="shared" si="17"/>
        <v>1.7698344585001364</v>
      </c>
      <c r="I41" s="77">
        <f t="shared" si="17"/>
        <v>2.8240775970470615</v>
      </c>
      <c r="J41" s="77">
        <f t="shared" si="17"/>
        <v>1.865787073070709</v>
      </c>
      <c r="K41" s="77">
        <f>K20/K15*100</f>
        <v>3.443146511519488</v>
      </c>
      <c r="L41" s="77">
        <f>L20/L15*100</f>
        <v>3.2932667677879475</v>
      </c>
      <c r="M41" s="77">
        <f>M20/M15*100</f>
        <v>5.996050787224857</v>
      </c>
      <c r="N41" s="23"/>
      <c r="O41" s="23"/>
      <c r="P41" s="23"/>
      <c r="Q41" s="23"/>
    </row>
    <row r="42" spans="1:17" ht="16.5" customHeight="1">
      <c r="A42" s="66" t="s">
        <v>20</v>
      </c>
      <c r="B42" s="75">
        <f aca="true" t="shared" si="18" ref="B42:J42">B21/B14*100</f>
        <v>2.4935819921468925</v>
      </c>
      <c r="C42" s="75">
        <f t="shared" si="18"/>
        <v>2.271051621460031</v>
      </c>
      <c r="D42" s="75">
        <f t="shared" si="18"/>
        <v>2.6673322883498187</v>
      </c>
      <c r="E42" s="75">
        <f t="shared" si="18"/>
        <v>1.6313353955340295</v>
      </c>
      <c r="F42" s="75">
        <f t="shared" si="18"/>
        <v>2.1206681721113223</v>
      </c>
      <c r="G42" s="75">
        <f t="shared" si="18"/>
        <v>1.5211705653757122</v>
      </c>
      <c r="H42" s="75">
        <f t="shared" si="18"/>
        <v>1.723406946350721</v>
      </c>
      <c r="I42" s="75">
        <f t="shared" si="18"/>
        <v>2.8043600179260078</v>
      </c>
      <c r="J42" s="75">
        <f t="shared" si="18"/>
        <v>1.9832116775546829</v>
      </c>
      <c r="K42" s="75">
        <f>K21/K14*100</f>
        <v>3.4472517617157985</v>
      </c>
      <c r="L42" s="75">
        <f>L21/L14*100</f>
        <v>2.243853658609596</v>
      </c>
      <c r="M42" s="75">
        <f>M21/M14*100</f>
        <v>6.930666201784443</v>
      </c>
      <c r="N42" s="23"/>
      <c r="O42" s="23"/>
      <c r="P42" s="23"/>
      <c r="Q42" s="23"/>
    </row>
    <row r="43" spans="1:17" ht="16.5" customHeight="1">
      <c r="A43" s="64" t="s">
        <v>47</v>
      </c>
      <c r="B43" s="65">
        <f aca="true" t="shared" si="19" ref="B43:I43">B27+B35</f>
        <v>100</v>
      </c>
      <c r="C43" s="65">
        <f t="shared" si="19"/>
        <v>100</v>
      </c>
      <c r="D43" s="65">
        <f t="shared" si="19"/>
        <v>100</v>
      </c>
      <c r="E43" s="65">
        <f t="shared" si="19"/>
        <v>99.99999999999999</v>
      </c>
      <c r="F43" s="65">
        <f t="shared" si="19"/>
        <v>100.00000000000001</v>
      </c>
      <c r="G43" s="65">
        <f t="shared" si="19"/>
        <v>100</v>
      </c>
      <c r="H43" s="65">
        <f t="shared" si="19"/>
        <v>100.00000000000001</v>
      </c>
      <c r="I43" s="65">
        <f t="shared" si="19"/>
        <v>100.00000000000001</v>
      </c>
      <c r="J43" s="65">
        <f>J27+J35</f>
        <v>100</v>
      </c>
      <c r="K43" s="65">
        <f>K27+K35</f>
        <v>100.00000000000001</v>
      </c>
      <c r="L43" s="65">
        <f>L27+L35</f>
        <v>100</v>
      </c>
      <c r="M43" s="65">
        <f>M27+M35</f>
        <v>100</v>
      </c>
      <c r="N43" s="22"/>
      <c r="O43" s="22"/>
      <c r="P43" s="22"/>
      <c r="Q43" s="22"/>
    </row>
    <row r="44" spans="1:10" ht="15.75" customHeight="1">
      <c r="A44" s="14" t="s">
        <v>21</v>
      </c>
      <c r="B44" s="51"/>
      <c r="C44" s="51"/>
      <c r="D44" s="26"/>
      <c r="E44" s="26"/>
      <c r="F44" s="26"/>
      <c r="G44" s="26"/>
      <c r="H44" s="26"/>
      <c r="I44" s="26"/>
      <c r="J44" s="26"/>
    </row>
    <row r="45" spans="1:2" ht="15.75" customHeight="1">
      <c r="A45" s="14" t="s">
        <v>22</v>
      </c>
      <c r="B45" s="52"/>
    </row>
    <row r="46" ht="15.75" customHeight="1">
      <c r="A46" s="14" t="s">
        <v>23</v>
      </c>
    </row>
    <row r="47" ht="15.75" customHeight="1">
      <c r="A47" s="76"/>
    </row>
    <row r="50" spans="2:7" ht="12.75">
      <c r="B50" s="11"/>
      <c r="C50" s="11"/>
      <c r="D50" s="11"/>
      <c r="G50" s="8"/>
    </row>
    <row r="51" ht="12.75">
      <c r="G51" s="8"/>
    </row>
    <row r="52" spans="2:4" ht="12.75">
      <c r="B52" s="11"/>
      <c r="C52" s="11"/>
      <c r="D52" s="11"/>
    </row>
    <row r="54" spans="2:4" ht="12.75">
      <c r="B54" s="11"/>
      <c r="C54" s="11"/>
      <c r="D54" s="11"/>
    </row>
    <row r="55" spans="5:8" ht="12.75">
      <c r="E55" s="9"/>
      <c r="F55" s="8"/>
      <c r="G55" s="9"/>
      <c r="H55" s="9"/>
    </row>
    <row r="56" spans="2:4" ht="12.75">
      <c r="B56" s="11"/>
      <c r="C56" s="11"/>
      <c r="D56" s="11"/>
    </row>
    <row r="57" spans="10:12" ht="12.75">
      <c r="J57" s="14"/>
      <c r="K57" s="14"/>
      <c r="L57" s="14"/>
    </row>
    <row r="58" spans="2:4" ht="12.75">
      <c r="B58" s="11"/>
      <c r="C58" s="11"/>
      <c r="D58" s="11"/>
    </row>
    <row r="60" spans="2:17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3" spans="10:12" ht="12.75">
      <c r="J63" s="14"/>
      <c r="K63" s="14"/>
      <c r="L63" s="14"/>
    </row>
  </sheetData>
  <sheetProtection/>
  <mergeCells count="7">
    <mergeCell ref="B25:M25"/>
    <mergeCell ref="B4:M4"/>
    <mergeCell ref="A1:M1"/>
    <mergeCell ref="B3:M3"/>
    <mergeCell ref="B24:M24"/>
    <mergeCell ref="A3:A5"/>
    <mergeCell ref="A24:A26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&amp;L&amp;"Bookman Old Style,Regular"&amp;14&amp;UMagyar Nemzeti Bank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Morvayné Aradi Anna</dc:creator>
  <cp:keywords/>
  <dc:description/>
  <cp:lastModifiedBy>bognart</cp:lastModifiedBy>
  <cp:lastPrinted>2011-10-21T15:46:39Z</cp:lastPrinted>
  <dcterms:created xsi:type="dcterms:W3CDTF">2000-08-23T13:17:18Z</dcterms:created>
  <dcterms:modified xsi:type="dcterms:W3CDTF">2012-07-16T10:27:54Z</dcterms:modified>
  <cp:category/>
  <cp:version/>
  <cp:contentType/>
  <cp:contentStatus/>
</cp:coreProperties>
</file>