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Pénzügyi intézmények\II.1 MNB RENDELETEK, GYIK-ok\2022-re Pénzpiaci MNB rend\3. Rendelet külső egyeztetésre\"/>
    </mc:Choice>
  </mc:AlternateContent>
  <xr:revisionPtr revIDLastSave="0" documentId="8_{5B007088-4CAF-429F-A514-BBA3C73C7FD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Tartalom" sheetId="10" r:id="rId1"/>
    <sheet name="9R1" sheetId="3" r:id="rId2"/>
    <sheet name="1_corp_loan" sheetId="4" r:id="rId3"/>
    <sheet name="2_mortg_float" sheetId="5" r:id="rId4"/>
    <sheet name="3_mortg_prep" sheetId="11" r:id="rId5"/>
    <sheet name="4_retail_nmd" sheetId="6" r:id="rId6"/>
    <sheet name="5_IRS" sheetId="12" r:id="rId7"/>
    <sheet name="6_CCIR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I9" i="12"/>
  <c r="I8" i="12"/>
  <c r="B23" i="12"/>
  <c r="I6" i="12" s="1"/>
  <c r="B25" i="12"/>
  <c r="B21" i="12"/>
  <c r="I5" i="12" s="1"/>
  <c r="C20" i="12"/>
  <c r="I10" i="12" s="1"/>
  <c r="I7" i="12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F47" i="11"/>
  <c r="G47" i="11" s="1"/>
  <c r="N46" i="11"/>
  <c r="G46" i="11"/>
  <c r="C39" i="11"/>
  <c r="K50" i="11" s="1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29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B30" i="4" s="1"/>
  <c r="K54" i="11"/>
  <c r="K162" i="11"/>
  <c r="K154" i="11"/>
  <c r="K146" i="11"/>
  <c r="K137" i="11"/>
  <c r="K120" i="11"/>
  <c r="K126" i="11"/>
  <c r="K97" i="11"/>
  <c r="K65" i="11"/>
  <c r="K96" i="11"/>
  <c r="K64" i="11"/>
  <c r="K87" i="11"/>
  <c r="K114" i="11"/>
  <c r="K62" i="11"/>
  <c r="K90" i="11"/>
  <c r="C29" i="4"/>
  <c r="F29" i="4" s="1"/>
  <c r="I6" i="4" s="1"/>
  <c r="C31" i="7"/>
  <c r="C30" i="7"/>
  <c r="C29" i="7"/>
  <c r="C28" i="7"/>
  <c r="I9" i="7" s="1"/>
  <c r="C27" i="7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36" i="5"/>
  <c r="C29" i="5"/>
  <c r="C40" i="5" s="1"/>
  <c r="C60" i="5"/>
  <c r="C68" i="5"/>
  <c r="C76" i="5"/>
  <c r="C84" i="5"/>
  <c r="C88" i="5"/>
  <c r="C92" i="5"/>
  <c r="C96" i="5"/>
  <c r="C100" i="5"/>
  <c r="C104" i="5"/>
  <c r="C108" i="5"/>
  <c r="C112" i="5"/>
  <c r="C116" i="5"/>
  <c r="C120" i="5"/>
  <c r="C124" i="5"/>
  <c r="C128" i="5"/>
  <c r="C132" i="5"/>
  <c r="C136" i="5"/>
  <c r="C140" i="5"/>
  <c r="C144" i="5"/>
  <c r="C148" i="5"/>
  <c r="C152" i="5"/>
  <c r="C37" i="5"/>
  <c r="D36" i="5"/>
  <c r="C95" i="5"/>
  <c r="C38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105" i="5"/>
  <c r="C109" i="5"/>
  <c r="C113" i="5"/>
  <c r="C117" i="5"/>
  <c r="C121" i="5"/>
  <c r="C125" i="5"/>
  <c r="C129" i="5"/>
  <c r="C133" i="5"/>
  <c r="C137" i="5"/>
  <c r="C141" i="5"/>
  <c r="C145" i="5"/>
  <c r="C149" i="5"/>
  <c r="C153" i="5"/>
  <c r="C43" i="5"/>
  <c r="C59" i="5"/>
  <c r="C67" i="5"/>
  <c r="C75" i="5"/>
  <c r="C83" i="5"/>
  <c r="C91" i="5"/>
  <c r="C103" i="5"/>
  <c r="C111" i="5"/>
  <c r="C119" i="5"/>
  <c r="C127" i="5"/>
  <c r="C135" i="5"/>
  <c r="C143" i="5"/>
  <c r="C151" i="5"/>
  <c r="C36" i="5"/>
  <c r="C42" i="5"/>
  <c r="C46" i="5"/>
  <c r="C50" i="5"/>
  <c r="C54" i="5"/>
  <c r="C58" i="5"/>
  <c r="C62" i="5"/>
  <c r="C66" i="5"/>
  <c r="C70" i="5"/>
  <c r="C74" i="5"/>
  <c r="C78" i="5"/>
  <c r="C82" i="5"/>
  <c r="C86" i="5"/>
  <c r="C90" i="5"/>
  <c r="C94" i="5"/>
  <c r="C98" i="5"/>
  <c r="C102" i="5"/>
  <c r="C106" i="5"/>
  <c r="C110" i="5"/>
  <c r="C114" i="5"/>
  <c r="C118" i="5"/>
  <c r="C122" i="5"/>
  <c r="C126" i="5"/>
  <c r="C130" i="5"/>
  <c r="C134" i="5"/>
  <c r="C138" i="5"/>
  <c r="C142" i="5"/>
  <c r="C146" i="5"/>
  <c r="C150" i="5"/>
  <c r="C154" i="5"/>
  <c r="C39" i="5"/>
  <c r="C47" i="5"/>
  <c r="C51" i="5"/>
  <c r="C55" i="5"/>
  <c r="C63" i="5"/>
  <c r="C71" i="5"/>
  <c r="C79" i="5"/>
  <c r="C87" i="5"/>
  <c r="C99" i="5"/>
  <c r="C107" i="5"/>
  <c r="C115" i="5"/>
  <c r="C123" i="5"/>
  <c r="C131" i="5"/>
  <c r="C139" i="5"/>
  <c r="C147" i="5"/>
  <c r="C155" i="5"/>
  <c r="I6" i="7"/>
  <c r="I12" i="7"/>
  <c r="I10" i="7"/>
  <c r="I8" i="7"/>
  <c r="C26" i="7"/>
  <c r="I7" i="7" s="1"/>
  <c r="B26" i="7"/>
  <c r="I5" i="7" s="1"/>
  <c r="I11" i="7"/>
  <c r="K52" i="11" l="1"/>
  <c r="K106" i="11"/>
  <c r="K99" i="11"/>
  <c r="K76" i="11"/>
  <c r="K112" i="11"/>
  <c r="K77" i="11"/>
  <c r="K138" i="11"/>
  <c r="K132" i="11"/>
  <c r="K141" i="11"/>
  <c r="K149" i="11"/>
  <c r="K157" i="11"/>
  <c r="K165" i="11"/>
  <c r="K55" i="11"/>
  <c r="K56" i="11"/>
  <c r="K129" i="11"/>
  <c r="K70" i="11"/>
  <c r="K71" i="11"/>
  <c r="K103" i="11"/>
  <c r="K80" i="11"/>
  <c r="K116" i="11"/>
  <c r="K81" i="11"/>
  <c r="K115" i="11"/>
  <c r="K119" i="11"/>
  <c r="K133" i="11"/>
  <c r="K142" i="11"/>
  <c r="K150" i="11"/>
  <c r="K158" i="11"/>
  <c r="K47" i="11"/>
  <c r="F48" i="11"/>
  <c r="K110" i="11"/>
  <c r="K67" i="11"/>
  <c r="K111" i="11"/>
  <c r="K86" i="11"/>
  <c r="K53" i="11"/>
  <c r="K82" i="11"/>
  <c r="K83" i="11"/>
  <c r="K117" i="11"/>
  <c r="K92" i="11"/>
  <c r="K61" i="11"/>
  <c r="K93" i="11"/>
  <c r="K122" i="11"/>
  <c r="K105" i="11"/>
  <c r="K136" i="11"/>
  <c r="K145" i="11"/>
  <c r="K153" i="11"/>
  <c r="K161" i="11"/>
  <c r="L46" i="11"/>
  <c r="Q46" i="11" s="1"/>
  <c r="J5" i="11" s="1"/>
  <c r="K66" i="11"/>
  <c r="C72" i="5"/>
  <c r="C56" i="5"/>
  <c r="C80" i="5"/>
  <c r="C64" i="5"/>
  <c r="K58" i="11"/>
  <c r="K94" i="11"/>
  <c r="D46" i="11"/>
  <c r="O46" i="11" s="1"/>
  <c r="H5" i="11" s="1"/>
  <c r="K98" i="11"/>
  <c r="K74" i="11"/>
  <c r="K59" i="11"/>
  <c r="K75" i="11"/>
  <c r="K91" i="11"/>
  <c r="K109" i="11"/>
  <c r="K68" i="11"/>
  <c r="K84" i="11"/>
  <c r="K100" i="11"/>
  <c r="K121" i="11"/>
  <c r="K69" i="11"/>
  <c r="K85" i="11"/>
  <c r="K101" i="11"/>
  <c r="K125" i="11"/>
  <c r="K130" i="11"/>
  <c r="K123" i="11"/>
  <c r="K124" i="11"/>
  <c r="K134" i="11"/>
  <c r="K139" i="11"/>
  <c r="K143" i="11"/>
  <c r="K147" i="11"/>
  <c r="K151" i="11"/>
  <c r="K155" i="11"/>
  <c r="K159" i="11"/>
  <c r="K163" i="11"/>
  <c r="K51" i="11"/>
  <c r="C46" i="11"/>
  <c r="K48" i="11"/>
  <c r="K60" i="11"/>
  <c r="K104" i="11"/>
  <c r="K49" i="11"/>
  <c r="K102" i="11"/>
  <c r="K78" i="11"/>
  <c r="K63" i="11"/>
  <c r="K79" i="11"/>
  <c r="K95" i="11"/>
  <c r="K113" i="11"/>
  <c r="K72" i="11"/>
  <c r="K88" i="11"/>
  <c r="K108" i="11"/>
  <c r="K57" i="11"/>
  <c r="K73" i="11"/>
  <c r="K89" i="11"/>
  <c r="K107" i="11"/>
  <c r="K118" i="11"/>
  <c r="K131" i="11"/>
  <c r="K127" i="11"/>
  <c r="K128" i="11"/>
  <c r="K135" i="11"/>
  <c r="K140" i="11"/>
  <c r="K144" i="11"/>
  <c r="K148" i="11"/>
  <c r="K152" i="11"/>
  <c r="K156" i="11"/>
  <c r="K160" i="11"/>
  <c r="K164" i="11"/>
  <c r="K46" i="11"/>
  <c r="M46" i="11" s="1"/>
  <c r="J47" i="11" s="1"/>
  <c r="C52" i="5"/>
  <c r="C48" i="5"/>
  <c r="C44" i="5"/>
  <c r="B31" i="4"/>
  <c r="C30" i="4"/>
  <c r="E36" i="5"/>
  <c r="G36" i="5"/>
  <c r="I5" i="5" s="1"/>
  <c r="F49" i="11"/>
  <c r="G48" i="11"/>
  <c r="E46" i="11" l="1"/>
  <c r="H46" i="11" s="1"/>
  <c r="R46" i="11"/>
  <c r="J20" i="11" s="1"/>
  <c r="C31" i="4"/>
  <c r="F30" i="4" s="1"/>
  <c r="B32" i="4"/>
  <c r="L47" i="11"/>
  <c r="P46" i="11"/>
  <c r="H20" i="11" s="1"/>
  <c r="I46" i="11"/>
  <c r="B47" i="11" s="1"/>
  <c r="G49" i="11"/>
  <c r="F50" i="11"/>
  <c r="H36" i="5"/>
  <c r="I15" i="5" s="1"/>
  <c r="B37" i="5"/>
  <c r="C32" i="4" l="1"/>
  <c r="B33" i="4"/>
  <c r="I5" i="4"/>
  <c r="D47" i="11"/>
  <c r="C47" i="11"/>
  <c r="D37" i="5"/>
  <c r="F51" i="11"/>
  <c r="G50" i="11"/>
  <c r="M47" i="11"/>
  <c r="E47" i="11" l="1"/>
  <c r="H47" i="11" s="1"/>
  <c r="I47" i="11" s="1"/>
  <c r="B48" i="11" s="1"/>
  <c r="B34" i="4"/>
  <c r="C33" i="4"/>
  <c r="J48" i="11"/>
  <c r="F52" i="11"/>
  <c r="G51" i="11"/>
  <c r="E37" i="5"/>
  <c r="B35" i="4" l="1"/>
  <c r="C34" i="4"/>
  <c r="F32" i="4" s="1"/>
  <c r="C48" i="11"/>
  <c r="D48" i="11"/>
  <c r="O47" i="11" s="1"/>
  <c r="H6" i="11" s="1"/>
  <c r="G52" i="11"/>
  <c r="F53" i="11"/>
  <c r="B38" i="5"/>
  <c r="L48" i="11"/>
  <c r="I8" i="4" l="1"/>
  <c r="I7" i="4"/>
  <c r="B36" i="4"/>
  <c r="C35" i="4"/>
  <c r="M48" i="11"/>
  <c r="Q47" i="11"/>
  <c r="J6" i="11" s="1"/>
  <c r="E48" i="11"/>
  <c r="G53" i="11"/>
  <c r="F54" i="11"/>
  <c r="D38" i="5"/>
  <c r="B37" i="4" l="1"/>
  <c r="C36" i="4"/>
  <c r="E38" i="5"/>
  <c r="G37" i="5"/>
  <c r="I6" i="5" s="1"/>
  <c r="H48" i="11"/>
  <c r="I48" i="11" s="1"/>
  <c r="B49" i="11" s="1"/>
  <c r="G54" i="11"/>
  <c r="F55" i="11"/>
  <c r="R47" i="11"/>
  <c r="J21" i="11" s="1"/>
  <c r="J49" i="11"/>
  <c r="P47" i="11" l="1"/>
  <c r="H21" i="11" s="1"/>
  <c r="C37" i="4"/>
  <c r="F35" i="4" s="1"/>
  <c r="I9" i="4" s="1"/>
  <c r="B38" i="4"/>
  <c r="H37" i="5"/>
  <c r="I16" i="5" s="1"/>
  <c r="B39" i="5"/>
  <c r="L49" i="11"/>
  <c r="C49" i="11"/>
  <c r="D49" i="11"/>
  <c r="F56" i="11"/>
  <c r="G55" i="11"/>
  <c r="B39" i="4" l="1"/>
  <c r="C38" i="4"/>
  <c r="D39" i="5"/>
  <c r="G56" i="11"/>
  <c r="F57" i="11"/>
  <c r="E49" i="11"/>
  <c r="M49" i="11"/>
  <c r="B40" i="4" l="1"/>
  <c r="C39" i="4"/>
  <c r="H49" i="11"/>
  <c r="I49" i="11" s="1"/>
  <c r="B50" i="11" s="1"/>
  <c r="E39" i="5"/>
  <c r="F58" i="11"/>
  <c r="G57" i="11"/>
  <c r="J50" i="11"/>
  <c r="B41" i="4" l="1"/>
  <c r="C40" i="4"/>
  <c r="F38" i="4" s="1"/>
  <c r="I10" i="4" s="1"/>
  <c r="L50" i="11"/>
  <c r="C50" i="11"/>
  <c r="D50" i="11"/>
  <c r="F59" i="11"/>
  <c r="G58" i="11"/>
  <c r="B40" i="5"/>
  <c r="B42" i="4" l="1"/>
  <c r="C41" i="4"/>
  <c r="M50" i="11"/>
  <c r="D40" i="5"/>
  <c r="F60" i="11"/>
  <c r="G59" i="11"/>
  <c r="E50" i="11"/>
  <c r="B43" i="4" l="1"/>
  <c r="C42" i="4"/>
  <c r="H50" i="11"/>
  <c r="I50" i="11" s="1"/>
  <c r="B51" i="11" s="1"/>
  <c r="E40" i="5"/>
  <c r="F61" i="11"/>
  <c r="G60" i="11"/>
  <c r="J51" i="11"/>
  <c r="C43" i="4" l="1"/>
  <c r="B44" i="4"/>
  <c r="C51" i="11"/>
  <c r="D51" i="11"/>
  <c r="O49" i="11" s="1"/>
  <c r="H7" i="11" s="1"/>
  <c r="F62" i="11"/>
  <c r="G61" i="11"/>
  <c r="L51" i="11"/>
  <c r="B41" i="5"/>
  <c r="B45" i="4" l="1"/>
  <c r="C44" i="4"/>
  <c r="D41" i="5"/>
  <c r="F63" i="11"/>
  <c r="G62" i="11"/>
  <c r="M51" i="11"/>
  <c r="Q49" i="11"/>
  <c r="J7" i="11" s="1"/>
  <c r="E51" i="11"/>
  <c r="B46" i="4" l="1"/>
  <c r="C45" i="4"/>
  <c r="H51" i="11"/>
  <c r="I51" i="11" s="1"/>
  <c r="B52" i="11" s="1"/>
  <c r="G63" i="11"/>
  <c r="F64" i="11"/>
  <c r="E41" i="5"/>
  <c r="G39" i="5"/>
  <c r="I7" i="5" s="1"/>
  <c r="R49" i="11"/>
  <c r="J22" i="11" s="1"/>
  <c r="J52" i="11"/>
  <c r="B47" i="4" l="1"/>
  <c r="C46" i="4"/>
  <c r="F41" i="4" s="1"/>
  <c r="I11" i="4" s="1"/>
  <c r="L52" i="11"/>
  <c r="C52" i="11"/>
  <c r="D52" i="11"/>
  <c r="H39" i="5"/>
  <c r="I17" i="5" s="1"/>
  <c r="B42" i="5"/>
  <c r="P49" i="11"/>
  <c r="H22" i="11" s="1"/>
  <c r="G64" i="11"/>
  <c r="F65" i="11"/>
  <c r="E52" i="11" l="1"/>
  <c r="C47" i="4"/>
  <c r="B48" i="4"/>
  <c r="G65" i="11"/>
  <c r="F66" i="11"/>
  <c r="M52" i="11"/>
  <c r="D42" i="5"/>
  <c r="H52" i="11"/>
  <c r="I52" i="11" s="1"/>
  <c r="B53" i="11" s="1"/>
  <c r="C48" i="4" l="1"/>
  <c r="B49" i="4"/>
  <c r="D53" i="11"/>
  <c r="C53" i="11"/>
  <c r="E42" i="5"/>
  <c r="F67" i="11"/>
  <c r="G66" i="11"/>
  <c r="J53" i="11"/>
  <c r="E53" i="11" l="1"/>
  <c r="H53" i="11" s="1"/>
  <c r="I53" i="11" s="1"/>
  <c r="B54" i="11" s="1"/>
  <c r="B50" i="4"/>
  <c r="C49" i="4"/>
  <c r="C54" i="11"/>
  <c r="D54" i="11"/>
  <c r="O52" i="11" s="1"/>
  <c r="H8" i="11" s="1"/>
  <c r="L53" i="11"/>
  <c r="F68" i="11"/>
  <c r="G67" i="11"/>
  <c r="B43" i="5"/>
  <c r="E54" i="11" l="1"/>
  <c r="H54" i="11" s="1"/>
  <c r="I54" i="11" s="1"/>
  <c r="B55" i="11" s="1"/>
  <c r="C50" i="4"/>
  <c r="B51" i="4"/>
  <c r="P52" i="11"/>
  <c r="H23" i="11" s="1"/>
  <c r="D43" i="5"/>
  <c r="M53" i="11"/>
  <c r="F69" i="11"/>
  <c r="G68" i="11"/>
  <c r="C51" i="4" l="1"/>
  <c r="B52" i="4"/>
  <c r="F70" i="11"/>
  <c r="G69" i="11"/>
  <c r="J54" i="11"/>
  <c r="C55" i="11"/>
  <c r="D55" i="11"/>
  <c r="E43" i="5"/>
  <c r="E55" i="11" l="1"/>
  <c r="H55" i="11" s="1"/>
  <c r="I55" i="11" s="1"/>
  <c r="B56" i="11" s="1"/>
  <c r="C52" i="4"/>
  <c r="F47" i="4" s="1"/>
  <c r="I12" i="4" s="1"/>
  <c r="B53" i="4"/>
  <c r="D56" i="11"/>
  <c r="C56" i="11"/>
  <c r="B44" i="5"/>
  <c r="G70" i="11"/>
  <c r="F71" i="11"/>
  <c r="L54" i="11"/>
  <c r="E56" i="11" l="1"/>
  <c r="H56" i="11" s="1"/>
  <c r="I56" i="11" s="1"/>
  <c r="B57" i="11" s="1"/>
  <c r="B54" i="4"/>
  <c r="C53" i="4"/>
  <c r="C57" i="11"/>
  <c r="D57" i="11"/>
  <c r="O55" i="11" s="1"/>
  <c r="H9" i="11" s="1"/>
  <c r="M54" i="11"/>
  <c r="Q52" i="11"/>
  <c r="J8" i="11" s="1"/>
  <c r="D44" i="5"/>
  <c r="G71" i="11"/>
  <c r="F72" i="11"/>
  <c r="C54" i="4" l="1"/>
  <c r="B55" i="4"/>
  <c r="G72" i="11"/>
  <c r="F73" i="11"/>
  <c r="E57" i="11"/>
  <c r="E44" i="5"/>
  <c r="G42" i="5"/>
  <c r="I8" i="5" s="1"/>
  <c r="R52" i="11"/>
  <c r="J23" i="11" s="1"/>
  <c r="J55" i="11"/>
  <c r="C55" i="4" l="1"/>
  <c r="B56" i="4"/>
  <c r="H42" i="5"/>
  <c r="I18" i="5" s="1"/>
  <c r="B45" i="5"/>
  <c r="L55" i="11"/>
  <c r="H57" i="11"/>
  <c r="I57" i="11" s="1"/>
  <c r="B58" i="11" s="1"/>
  <c r="G73" i="11"/>
  <c r="F74" i="11"/>
  <c r="B57" i="4" l="1"/>
  <c r="C56" i="4"/>
  <c r="C58" i="11"/>
  <c r="D58" i="11"/>
  <c r="D45" i="5"/>
  <c r="P55" i="11"/>
  <c r="H24" i="11" s="1"/>
  <c r="G74" i="11"/>
  <c r="F75" i="11"/>
  <c r="M55" i="11"/>
  <c r="B58" i="4" l="1"/>
  <c r="C57" i="4"/>
  <c r="J56" i="11"/>
  <c r="F76" i="11"/>
  <c r="G75" i="11"/>
  <c r="E45" i="5"/>
  <c r="E58" i="11"/>
  <c r="C58" i="4" l="1"/>
  <c r="B59" i="4"/>
  <c r="H58" i="11"/>
  <c r="I58" i="11" s="1"/>
  <c r="B59" i="11" s="1"/>
  <c r="F77" i="11"/>
  <c r="G76" i="11"/>
  <c r="L56" i="11"/>
  <c r="B46" i="5"/>
  <c r="C59" i="4" l="1"/>
  <c r="B60" i="4"/>
  <c r="D46" i="5"/>
  <c r="F78" i="11"/>
  <c r="G77" i="11"/>
  <c r="C59" i="11"/>
  <c r="D59" i="11"/>
  <c r="M56" i="11"/>
  <c r="E59" i="11" l="1"/>
  <c r="B61" i="4"/>
  <c r="C60" i="4"/>
  <c r="J57" i="11"/>
  <c r="H59" i="11"/>
  <c r="I59" i="11" s="1"/>
  <c r="B60" i="11" s="1"/>
  <c r="G78" i="11"/>
  <c r="F79" i="11"/>
  <c r="E46" i="5"/>
  <c r="C61" i="4" l="1"/>
  <c r="B62" i="4"/>
  <c r="D60" i="11"/>
  <c r="C60" i="11"/>
  <c r="L57" i="11"/>
  <c r="B47" i="5"/>
  <c r="F80" i="11"/>
  <c r="G79" i="11"/>
  <c r="C62" i="4" l="1"/>
  <c r="B63" i="4"/>
  <c r="M57" i="11"/>
  <c r="Q55" i="11"/>
  <c r="J9" i="11" s="1"/>
  <c r="F81" i="11"/>
  <c r="G80" i="11"/>
  <c r="D47" i="5"/>
  <c r="E60" i="11"/>
  <c r="B64" i="4" l="1"/>
  <c r="C63" i="4"/>
  <c r="H60" i="11"/>
  <c r="I60" i="11" s="1"/>
  <c r="B61" i="11" s="1"/>
  <c r="F82" i="11"/>
  <c r="G81" i="11"/>
  <c r="E47" i="5"/>
  <c r="G45" i="5"/>
  <c r="I9" i="5" s="1"/>
  <c r="R55" i="11"/>
  <c r="J24" i="11" s="1"/>
  <c r="J58" i="11"/>
  <c r="B65" i="4" l="1"/>
  <c r="C64" i="4"/>
  <c r="F53" i="4" s="1"/>
  <c r="I13" i="4" s="1"/>
  <c r="F83" i="11"/>
  <c r="G82" i="11"/>
  <c r="L58" i="11"/>
  <c r="D61" i="11"/>
  <c r="C61" i="11"/>
  <c r="H45" i="5"/>
  <c r="I19" i="5" s="1"/>
  <c r="B48" i="5"/>
  <c r="B66" i="4" l="1"/>
  <c r="C65" i="4"/>
  <c r="M58" i="11"/>
  <c r="F84" i="11"/>
  <c r="G83" i="11"/>
  <c r="E61" i="11"/>
  <c r="D48" i="5"/>
  <c r="C66" i="4" l="1"/>
  <c r="B67" i="4"/>
  <c r="F85" i="11"/>
  <c r="G84" i="11"/>
  <c r="J59" i="11"/>
  <c r="E48" i="5"/>
  <c r="H61" i="11"/>
  <c r="I61" i="11" s="1"/>
  <c r="B62" i="11" s="1"/>
  <c r="B68" i="4" l="1"/>
  <c r="C67" i="4"/>
  <c r="C62" i="11"/>
  <c r="D62" i="11"/>
  <c r="L59" i="11"/>
  <c r="F86" i="11"/>
  <c r="G85" i="11"/>
  <c r="B49" i="5"/>
  <c r="E62" i="11" l="1"/>
  <c r="H62" i="11" s="1"/>
  <c r="I62" i="11" s="1"/>
  <c r="B63" i="11" s="1"/>
  <c r="B69" i="4"/>
  <c r="C68" i="4"/>
  <c r="C63" i="11"/>
  <c r="D63" i="11"/>
  <c r="O58" i="11" s="1"/>
  <c r="H10" i="11" s="1"/>
  <c r="M59" i="11"/>
  <c r="G86" i="11"/>
  <c r="F87" i="11"/>
  <c r="D49" i="5"/>
  <c r="B70" i="4" l="1"/>
  <c r="C69" i="4"/>
  <c r="F88" i="11"/>
  <c r="G87" i="11"/>
  <c r="E49" i="5"/>
  <c r="J60" i="11"/>
  <c r="E63" i="11"/>
  <c r="C70" i="4" l="1"/>
  <c r="B71" i="4"/>
  <c r="L60" i="11"/>
  <c r="B50" i="5"/>
  <c r="H63" i="11"/>
  <c r="I63" i="11" s="1"/>
  <c r="B64" i="11" s="1"/>
  <c r="F89" i="11"/>
  <c r="G88" i="11"/>
  <c r="C71" i="4" l="1"/>
  <c r="B72" i="4"/>
  <c r="D50" i="5"/>
  <c r="C64" i="11"/>
  <c r="D64" i="11"/>
  <c r="M60" i="11"/>
  <c r="G89" i="11"/>
  <c r="F90" i="11"/>
  <c r="P58" i="11"/>
  <c r="H25" i="11" s="1"/>
  <c r="C72" i="4" l="1"/>
  <c r="B73" i="4"/>
  <c r="G90" i="11"/>
  <c r="F91" i="11"/>
  <c r="E50" i="5"/>
  <c r="J61" i="11"/>
  <c r="E64" i="11"/>
  <c r="B74" i="4" l="1"/>
  <c r="C73" i="4"/>
  <c r="H64" i="11"/>
  <c r="I64" i="11" s="1"/>
  <c r="B65" i="11" s="1"/>
  <c r="L61" i="11"/>
  <c r="B51" i="5"/>
  <c r="G91" i="11"/>
  <c r="F92" i="11"/>
  <c r="B75" i="4" l="1"/>
  <c r="C74" i="4"/>
  <c r="M61" i="11"/>
  <c r="G92" i="11"/>
  <c r="F93" i="11"/>
  <c r="D51" i="5"/>
  <c r="C65" i="11"/>
  <c r="D65" i="11"/>
  <c r="B76" i="4" l="1"/>
  <c r="C76" i="4" s="1"/>
  <c r="F65" i="4" s="1"/>
  <c r="I14" i="4" s="1"/>
  <c r="C75" i="4"/>
  <c r="G93" i="11"/>
  <c r="F94" i="11"/>
  <c r="E65" i="11"/>
  <c r="E51" i="5"/>
  <c r="J62" i="11"/>
  <c r="L62" i="11" l="1"/>
  <c r="H65" i="11"/>
  <c r="I65" i="11" s="1"/>
  <c r="B66" i="11" s="1"/>
  <c r="G94" i="11"/>
  <c r="F95" i="11"/>
  <c r="B52" i="5"/>
  <c r="D52" i="5" l="1"/>
  <c r="D66" i="11"/>
  <c r="C66" i="11"/>
  <c r="G95" i="11"/>
  <c r="F96" i="11"/>
  <c r="M62" i="11"/>
  <c r="F97" i="11" l="1"/>
  <c r="G96" i="11"/>
  <c r="E52" i="5"/>
  <c r="J63" i="11"/>
  <c r="E66" i="11"/>
  <c r="H66" i="11" l="1"/>
  <c r="I66" i="11" s="1"/>
  <c r="B67" i="11" s="1"/>
  <c r="B53" i="5"/>
  <c r="L63" i="11"/>
  <c r="F98" i="11"/>
  <c r="G97" i="11"/>
  <c r="D53" i="5" l="1"/>
  <c r="F99" i="11"/>
  <c r="G98" i="11"/>
  <c r="C67" i="11"/>
  <c r="D67" i="11"/>
  <c r="M63" i="11"/>
  <c r="Q58" i="11"/>
  <c r="J10" i="11" s="1"/>
  <c r="G99" i="11" l="1"/>
  <c r="F100" i="11"/>
  <c r="E53" i="5"/>
  <c r="G48" i="5"/>
  <c r="I10" i="5" s="1"/>
  <c r="R58" i="11"/>
  <c r="J25" i="11" s="1"/>
  <c r="J64" i="11"/>
  <c r="E67" i="11"/>
  <c r="H67" i="11" l="1"/>
  <c r="I67" i="11" s="1"/>
  <c r="B68" i="11" s="1"/>
  <c r="H48" i="5"/>
  <c r="I20" i="5" s="1"/>
  <c r="B54" i="5"/>
  <c r="L64" i="11"/>
  <c r="F101" i="11"/>
  <c r="G100" i="11"/>
  <c r="D54" i="5" l="1"/>
  <c r="M64" i="11"/>
  <c r="C68" i="11"/>
  <c r="D68" i="11"/>
  <c r="G101" i="11"/>
  <c r="F102" i="11"/>
  <c r="J65" i="11" l="1"/>
  <c r="F103" i="11"/>
  <c r="G102" i="11"/>
  <c r="E68" i="11"/>
  <c r="E54" i="5"/>
  <c r="B55" i="5" l="1"/>
  <c r="G103" i="11"/>
  <c r="F104" i="11"/>
  <c r="L65" i="11"/>
  <c r="H68" i="11"/>
  <c r="I68" i="11" s="1"/>
  <c r="B69" i="11" s="1"/>
  <c r="C69" i="11" l="1"/>
  <c r="D69" i="11"/>
  <c r="O64" i="11" s="1"/>
  <c r="H11" i="11" s="1"/>
  <c r="F105" i="11"/>
  <c r="G104" i="11"/>
  <c r="M65" i="11"/>
  <c r="D55" i="5"/>
  <c r="J66" i="11" l="1"/>
  <c r="E55" i="5"/>
  <c r="G105" i="11"/>
  <c r="F106" i="11"/>
  <c r="E69" i="11"/>
  <c r="H69" i="11" l="1"/>
  <c r="I69" i="11" s="1"/>
  <c r="B70" i="11" s="1"/>
  <c r="B56" i="5"/>
  <c r="G106" i="11"/>
  <c r="F107" i="11"/>
  <c r="L66" i="11"/>
  <c r="M66" i="11" l="1"/>
  <c r="F108" i="11"/>
  <c r="G107" i="11"/>
  <c r="D56" i="5"/>
  <c r="D70" i="11"/>
  <c r="C70" i="11"/>
  <c r="P64" i="11"/>
  <c r="H26" i="11" s="1"/>
  <c r="F109" i="11" l="1"/>
  <c r="G108" i="11"/>
  <c r="E70" i="11"/>
  <c r="E56" i="5"/>
  <c r="J67" i="11"/>
  <c r="L67" i="11" l="1"/>
  <c r="F110" i="11"/>
  <c r="G109" i="11"/>
  <c r="H70" i="11"/>
  <c r="I70" i="11" s="1"/>
  <c r="B71" i="11" s="1"/>
  <c r="B57" i="5"/>
  <c r="D57" i="5" l="1"/>
  <c r="G110" i="11"/>
  <c r="F111" i="11"/>
  <c r="D71" i="11"/>
  <c r="C71" i="11"/>
  <c r="M67" i="11"/>
  <c r="E71" i="11" l="1"/>
  <c r="F112" i="11"/>
  <c r="G111" i="11"/>
  <c r="H71" i="11"/>
  <c r="I71" i="11" s="1"/>
  <c r="B72" i="11" s="1"/>
  <c r="J68" i="11"/>
  <c r="E57" i="5"/>
  <c r="B58" i="5" l="1"/>
  <c r="L68" i="11"/>
  <c r="G112" i="11"/>
  <c r="F113" i="11"/>
  <c r="D72" i="11"/>
  <c r="C72" i="11"/>
  <c r="E72" i="11" s="1"/>
  <c r="H72" i="11" s="1"/>
  <c r="I72" i="11" s="1"/>
  <c r="B73" i="11" s="1"/>
  <c r="D73" i="11" l="1"/>
  <c r="C73" i="11"/>
  <c r="E73" i="11" s="1"/>
  <c r="H73" i="11" s="1"/>
  <c r="I73" i="11" s="1"/>
  <c r="B74" i="11" s="1"/>
  <c r="M68" i="11"/>
  <c r="F114" i="11"/>
  <c r="G113" i="11"/>
  <c r="D58" i="5"/>
  <c r="D74" i="11" l="1"/>
  <c r="C74" i="11"/>
  <c r="E74" i="11" s="1"/>
  <c r="H74" i="11" s="1"/>
  <c r="I74" i="11" s="1"/>
  <c r="B75" i="11" s="1"/>
  <c r="E58" i="5"/>
  <c r="J69" i="11"/>
  <c r="F115" i="11"/>
  <c r="G114" i="11"/>
  <c r="C75" i="11" l="1"/>
  <c r="D75" i="11"/>
  <c r="L69" i="11"/>
  <c r="F116" i="11"/>
  <c r="G115" i="11"/>
  <c r="B59" i="5"/>
  <c r="G116" i="11" l="1"/>
  <c r="F117" i="11"/>
  <c r="M69" i="11"/>
  <c r="Q64" i="11"/>
  <c r="J11" i="11" s="1"/>
  <c r="D59" i="5"/>
  <c r="E75" i="11"/>
  <c r="H75" i="11" s="1"/>
  <c r="I75" i="11" s="1"/>
  <c r="B76" i="11" s="1"/>
  <c r="C76" i="11" l="1"/>
  <c r="D76" i="11"/>
  <c r="R64" i="11"/>
  <c r="J26" i="11" s="1"/>
  <c r="J70" i="11"/>
  <c r="F118" i="11"/>
  <c r="G117" i="11"/>
  <c r="E59" i="5"/>
  <c r="G54" i="5"/>
  <c r="I11" i="5" s="1"/>
  <c r="L70" i="11" l="1"/>
  <c r="G118" i="11"/>
  <c r="F119" i="11"/>
  <c r="H54" i="5"/>
  <c r="I21" i="5" s="1"/>
  <c r="B60" i="5"/>
  <c r="E76" i="11"/>
  <c r="H76" i="11" s="1"/>
  <c r="I76" i="11" s="1"/>
  <c r="B77" i="11" s="1"/>
  <c r="D77" i="11" l="1"/>
  <c r="C77" i="11"/>
  <c r="E77" i="11" s="1"/>
  <c r="H77" i="11" s="1"/>
  <c r="I77" i="11" s="1"/>
  <c r="B78" i="11" s="1"/>
  <c r="D60" i="5"/>
  <c r="M70" i="11"/>
  <c r="G119" i="11"/>
  <c r="F120" i="11"/>
  <c r="D78" i="11" l="1"/>
  <c r="C78" i="11"/>
  <c r="E78" i="11" s="1"/>
  <c r="H78" i="11" s="1"/>
  <c r="I78" i="11" s="1"/>
  <c r="B79" i="11" s="1"/>
  <c r="J71" i="11"/>
  <c r="E60" i="5"/>
  <c r="G120" i="11"/>
  <c r="F121" i="11"/>
  <c r="D79" i="11" l="1"/>
  <c r="C79" i="11"/>
  <c r="E79" i="11" s="1"/>
  <c r="H79" i="11" s="1"/>
  <c r="I79" i="11" s="1"/>
  <c r="B80" i="11" s="1"/>
  <c r="L71" i="11"/>
  <c r="B61" i="5"/>
  <c r="G121" i="11"/>
  <c r="F122" i="11"/>
  <c r="D80" i="11" l="1"/>
  <c r="C80" i="11"/>
  <c r="E80" i="11" s="1"/>
  <c r="H80" i="11" s="1"/>
  <c r="I80" i="11" s="1"/>
  <c r="B81" i="11" s="1"/>
  <c r="D61" i="5"/>
  <c r="G122" i="11"/>
  <c r="F123" i="11"/>
  <c r="M71" i="11"/>
  <c r="D81" i="11" l="1"/>
  <c r="O70" i="11" s="1"/>
  <c r="H12" i="11" s="1"/>
  <c r="C81" i="11"/>
  <c r="E81" i="11" s="1"/>
  <c r="F124" i="11"/>
  <c r="G123" i="11"/>
  <c r="J72" i="11"/>
  <c r="E61" i="5"/>
  <c r="H81" i="11" l="1"/>
  <c r="I81" i="11" s="1"/>
  <c r="B82" i="11" s="1"/>
  <c r="L72" i="11"/>
  <c r="B62" i="5"/>
  <c r="G124" i="11"/>
  <c r="F125" i="11"/>
  <c r="G125" i="11" l="1"/>
  <c r="F126" i="11"/>
  <c r="M72" i="11"/>
  <c r="D82" i="11"/>
  <c r="C82" i="11"/>
  <c r="D62" i="5"/>
  <c r="P70" i="11"/>
  <c r="H27" i="11" s="1"/>
  <c r="E82" i="11" l="1"/>
  <c r="J73" i="11"/>
  <c r="H82" i="11"/>
  <c r="I82" i="11" s="1"/>
  <c r="B83" i="11" s="1"/>
  <c r="F127" i="11"/>
  <c r="G126" i="11"/>
  <c r="E62" i="5"/>
  <c r="C83" i="11" l="1"/>
  <c r="D83" i="11"/>
  <c r="B63" i="5"/>
  <c r="L73" i="11"/>
  <c r="F128" i="11"/>
  <c r="G127" i="11"/>
  <c r="M73" i="11" l="1"/>
  <c r="E83" i="11"/>
  <c r="D63" i="5"/>
  <c r="F129" i="11"/>
  <c r="G128" i="11"/>
  <c r="H83" i="11" l="1"/>
  <c r="I83" i="11" s="1"/>
  <c r="B84" i="11" s="1"/>
  <c r="G129" i="11"/>
  <c r="F130" i="11"/>
  <c r="E63" i="5"/>
  <c r="J74" i="11"/>
  <c r="L74" i="11" l="1"/>
  <c r="F131" i="11"/>
  <c r="G130" i="11"/>
  <c r="C84" i="11"/>
  <c r="E84" i="11" s="1"/>
  <c r="H84" i="11" s="1"/>
  <c r="I84" i="11" s="1"/>
  <c r="B85" i="11" s="1"/>
  <c r="D84" i="11"/>
  <c r="B64" i="5"/>
  <c r="D85" i="11" l="1"/>
  <c r="C85" i="11"/>
  <c r="E85" i="11" s="1"/>
  <c r="H85" i="11" s="1"/>
  <c r="I85" i="11" s="1"/>
  <c r="B86" i="11" s="1"/>
  <c r="F132" i="11"/>
  <c r="G131" i="11"/>
  <c r="D64" i="5"/>
  <c r="M74" i="11"/>
  <c r="D86" i="11" l="1"/>
  <c r="C86" i="11"/>
  <c r="E86" i="11" s="1"/>
  <c r="H86" i="11" s="1"/>
  <c r="I86" i="11" s="1"/>
  <c r="B87" i="11" s="1"/>
  <c r="E64" i="5"/>
  <c r="J75" i="11"/>
  <c r="G132" i="11"/>
  <c r="F133" i="11"/>
  <c r="C87" i="11" l="1"/>
  <c r="D87" i="11"/>
  <c r="L75" i="11"/>
  <c r="M75" i="11" s="1"/>
  <c r="J76" i="11" s="1"/>
  <c r="G133" i="11"/>
  <c r="F134" i="11"/>
  <c r="B65" i="5"/>
  <c r="F135" i="11" l="1"/>
  <c r="G134" i="11"/>
  <c r="L76" i="11"/>
  <c r="M76" i="11" s="1"/>
  <c r="J77" i="11" s="1"/>
  <c r="D65" i="5"/>
  <c r="E65" i="5" s="1"/>
  <c r="B66" i="5" s="1"/>
  <c r="E87" i="11"/>
  <c r="H87" i="11" s="1"/>
  <c r="I87" i="11" s="1"/>
  <c r="B88" i="11" s="1"/>
  <c r="D66" i="5" l="1"/>
  <c r="E66" i="5" s="1"/>
  <c r="B67" i="5" s="1"/>
  <c r="L77" i="11"/>
  <c r="M77" i="11" s="1"/>
  <c r="J78" i="11" s="1"/>
  <c r="D88" i="11"/>
  <c r="C88" i="11"/>
  <c r="G135" i="11"/>
  <c r="F136" i="11"/>
  <c r="E88" i="11" l="1"/>
  <c r="H88" i="11" s="1"/>
  <c r="I88" i="11" s="1"/>
  <c r="B89" i="11" s="1"/>
  <c r="D89" i="11" s="1"/>
  <c r="C89" i="11"/>
  <c r="D67" i="5"/>
  <c r="E67" i="5" s="1"/>
  <c r="B68" i="5" s="1"/>
  <c r="L78" i="11"/>
  <c r="M78" i="11" s="1"/>
  <c r="J79" i="11" s="1"/>
  <c r="F137" i="11"/>
  <c r="G136" i="11"/>
  <c r="E89" i="11" l="1"/>
  <c r="H89" i="11" s="1"/>
  <c r="I89" i="11" s="1"/>
  <c r="B90" i="11" s="1"/>
  <c r="D90" i="11" s="1"/>
  <c r="D68" i="5"/>
  <c r="E68" i="5" s="1"/>
  <c r="B69" i="5" s="1"/>
  <c r="L79" i="11"/>
  <c r="M79" i="11" s="1"/>
  <c r="J80" i="11" s="1"/>
  <c r="G137" i="11"/>
  <c r="F138" i="11"/>
  <c r="C90" i="11" l="1"/>
  <c r="E90" i="11" s="1"/>
  <c r="H90" i="11" s="1"/>
  <c r="I90" i="11" s="1"/>
  <c r="B91" i="11" s="1"/>
  <c r="D69" i="5"/>
  <c r="E69" i="5" s="1"/>
  <c r="B70" i="5" s="1"/>
  <c r="L80" i="11"/>
  <c r="M80" i="11" s="1"/>
  <c r="J81" i="11" s="1"/>
  <c r="G138" i="11"/>
  <c r="F139" i="11"/>
  <c r="L81" i="11" l="1"/>
  <c r="D70" i="5"/>
  <c r="E70" i="5" s="1"/>
  <c r="B71" i="5" s="1"/>
  <c r="G139" i="11"/>
  <c r="F140" i="11"/>
  <c r="D91" i="11"/>
  <c r="C91" i="11"/>
  <c r="D71" i="5" l="1"/>
  <c r="E91" i="11"/>
  <c r="H91" i="11" s="1"/>
  <c r="I91" i="11" s="1"/>
  <c r="B92" i="11" s="1"/>
  <c r="F141" i="11"/>
  <c r="G140" i="11"/>
  <c r="M81" i="11"/>
  <c r="Q70" i="11"/>
  <c r="J12" i="11" s="1"/>
  <c r="C92" i="11" l="1"/>
  <c r="D92" i="11"/>
  <c r="E71" i="5"/>
  <c r="G60" i="5"/>
  <c r="I12" i="5" s="1"/>
  <c r="F142" i="11"/>
  <c r="G141" i="11"/>
  <c r="R70" i="11"/>
  <c r="J27" i="11" s="1"/>
  <c r="J82" i="11"/>
  <c r="F143" i="11" l="1"/>
  <c r="G142" i="11"/>
  <c r="L82" i="11"/>
  <c r="H60" i="5"/>
  <c r="I22" i="5" s="1"/>
  <c r="B72" i="5"/>
  <c r="E92" i="11"/>
  <c r="H92" i="11" s="1"/>
  <c r="I92" i="11" s="1"/>
  <c r="B93" i="11" s="1"/>
  <c r="D93" i="11" l="1"/>
  <c r="O82" i="11" s="1"/>
  <c r="H13" i="11" s="1"/>
  <c r="C93" i="11"/>
  <c r="E93" i="11" s="1"/>
  <c r="H93" i="11" s="1"/>
  <c r="I93" i="11" s="1"/>
  <c r="B94" i="11" s="1"/>
  <c r="M82" i="11"/>
  <c r="D72" i="5"/>
  <c r="F144" i="11"/>
  <c r="G143" i="11"/>
  <c r="D94" i="11" l="1"/>
  <c r="C94" i="11"/>
  <c r="E94" i="11" s="1"/>
  <c r="E72" i="5"/>
  <c r="P82" i="11"/>
  <c r="H28" i="11" s="1"/>
  <c r="F145" i="11"/>
  <c r="G144" i="11"/>
  <c r="J83" i="11"/>
  <c r="F146" i="11" l="1"/>
  <c r="G145" i="11"/>
  <c r="L83" i="11"/>
  <c r="B73" i="5"/>
  <c r="H94" i="11"/>
  <c r="I94" i="11" s="1"/>
  <c r="B95" i="11" s="1"/>
  <c r="D73" i="5" l="1"/>
  <c r="M83" i="11"/>
  <c r="D95" i="11"/>
  <c r="C95" i="11"/>
  <c r="E95" i="11" s="1"/>
  <c r="F147" i="11"/>
  <c r="G146" i="11"/>
  <c r="J84" i="11" l="1"/>
  <c r="F148" i="11"/>
  <c r="G147" i="11"/>
  <c r="H95" i="11"/>
  <c r="I95" i="11" s="1"/>
  <c r="B96" i="11" s="1"/>
  <c r="E73" i="5"/>
  <c r="B74" i="5" l="1"/>
  <c r="C96" i="11"/>
  <c r="D96" i="11"/>
  <c r="L84" i="11"/>
  <c r="G148" i="11"/>
  <c r="F149" i="11"/>
  <c r="E96" i="11" l="1"/>
  <c r="G149" i="11"/>
  <c r="F150" i="11"/>
  <c r="H96" i="11"/>
  <c r="I96" i="11" s="1"/>
  <c r="B97" i="11" s="1"/>
  <c r="D74" i="5"/>
  <c r="M84" i="11"/>
  <c r="D97" i="11" l="1"/>
  <c r="C97" i="11"/>
  <c r="E97" i="11" s="1"/>
  <c r="H97" i="11" s="1"/>
  <c r="I97" i="11" s="1"/>
  <c r="B98" i="11" s="1"/>
  <c r="J85" i="11"/>
  <c r="F151" i="11"/>
  <c r="G150" i="11"/>
  <c r="E74" i="5"/>
  <c r="C98" i="11" l="1"/>
  <c r="D98" i="11"/>
  <c r="G151" i="11"/>
  <c r="F152" i="11"/>
  <c r="L85" i="11"/>
  <c r="B75" i="5"/>
  <c r="M85" i="11" l="1"/>
  <c r="D75" i="5"/>
  <c r="F153" i="11"/>
  <c r="G152" i="11"/>
  <c r="E98" i="11"/>
  <c r="H98" i="11" s="1"/>
  <c r="I98" i="11" s="1"/>
  <c r="B99" i="11" s="1"/>
  <c r="E75" i="5" l="1"/>
  <c r="C99" i="11"/>
  <c r="D99" i="11"/>
  <c r="G153" i="11"/>
  <c r="F154" i="11"/>
  <c r="J86" i="11"/>
  <c r="E99" i="11" l="1"/>
  <c r="H99" i="11" s="1"/>
  <c r="I99" i="11" s="1"/>
  <c r="B100" i="11" s="1"/>
  <c r="C100" i="11"/>
  <c r="E100" i="11" s="1"/>
  <c r="H100" i="11" s="1"/>
  <c r="I100" i="11" s="1"/>
  <c r="B101" i="11" s="1"/>
  <c r="D100" i="11"/>
  <c r="F155" i="11"/>
  <c r="G154" i="11"/>
  <c r="L86" i="11"/>
  <c r="B76" i="5"/>
  <c r="D101" i="11" l="1"/>
  <c r="C101" i="11"/>
  <c r="E101" i="11" s="1"/>
  <c r="H101" i="11" s="1"/>
  <c r="I101" i="11" s="1"/>
  <c r="B102" i="11" s="1"/>
  <c r="D76" i="5"/>
  <c r="F156" i="11"/>
  <c r="G155" i="11"/>
  <c r="M86" i="11"/>
  <c r="D102" i="11" l="1"/>
  <c r="C102" i="11"/>
  <c r="J87" i="11"/>
  <c r="E76" i="5"/>
  <c r="F157" i="11"/>
  <c r="G156" i="11"/>
  <c r="L87" i="11" l="1"/>
  <c r="M87" i="11" s="1"/>
  <c r="J88" i="11" s="1"/>
  <c r="G157" i="11"/>
  <c r="F158" i="11"/>
  <c r="E102" i="11"/>
  <c r="H102" i="11" s="1"/>
  <c r="I102" i="11" s="1"/>
  <c r="B103" i="11" s="1"/>
  <c r="B77" i="5"/>
  <c r="L88" i="11" l="1"/>
  <c r="M88" i="11" s="1"/>
  <c r="J89" i="11" s="1"/>
  <c r="C103" i="11"/>
  <c r="D103" i="11"/>
  <c r="G158" i="11"/>
  <c r="F159" i="11"/>
  <c r="D77" i="5"/>
  <c r="E77" i="5" s="1"/>
  <c r="B78" i="5" s="1"/>
  <c r="D78" i="5" l="1"/>
  <c r="E78" i="5" s="1"/>
  <c r="B79" i="5" s="1"/>
  <c r="L89" i="11"/>
  <c r="M89" i="11" s="1"/>
  <c r="J90" i="11" s="1"/>
  <c r="F160" i="11"/>
  <c r="G159" i="11"/>
  <c r="E103" i="11"/>
  <c r="H103" i="11" s="1"/>
  <c r="I103" i="11" s="1"/>
  <c r="B104" i="11" s="1"/>
  <c r="D79" i="5" l="1"/>
  <c r="E79" i="5" s="1"/>
  <c r="B80" i="5" s="1"/>
  <c r="G160" i="11"/>
  <c r="F161" i="11"/>
  <c r="L90" i="11"/>
  <c r="M90" i="11" s="1"/>
  <c r="J91" i="11" s="1"/>
  <c r="D104" i="11"/>
  <c r="C104" i="11"/>
  <c r="L91" i="11" l="1"/>
  <c r="M91" i="11" s="1"/>
  <c r="J92" i="11" s="1"/>
  <c r="E104" i="11"/>
  <c r="H104" i="11" s="1"/>
  <c r="I104" i="11" s="1"/>
  <c r="B105" i="11" s="1"/>
  <c r="D80" i="5"/>
  <c r="E80" i="5" s="1"/>
  <c r="B81" i="5" s="1"/>
  <c r="G161" i="11"/>
  <c r="F162" i="11"/>
  <c r="L92" i="11" l="1"/>
  <c r="M92" i="11" s="1"/>
  <c r="J93" i="11" s="1"/>
  <c r="D81" i="5"/>
  <c r="E81" i="5" s="1"/>
  <c r="B82" i="5" s="1"/>
  <c r="F163" i="11"/>
  <c r="G162" i="11"/>
  <c r="C105" i="11"/>
  <c r="D105" i="11"/>
  <c r="O94" i="11" s="1"/>
  <c r="H14" i="11" s="1"/>
  <c r="D82" i="5" l="1"/>
  <c r="E82" i="5" s="1"/>
  <c r="B83" i="5" s="1"/>
  <c r="L93" i="11"/>
  <c r="G163" i="11"/>
  <c r="F164" i="11"/>
  <c r="E105" i="11"/>
  <c r="D83" i="5" l="1"/>
  <c r="H105" i="11"/>
  <c r="I105" i="11" s="1"/>
  <c r="B106" i="11" s="1"/>
  <c r="F165" i="11"/>
  <c r="G165" i="11" s="1"/>
  <c r="G164" i="11"/>
  <c r="M93" i="11"/>
  <c r="Q82" i="11"/>
  <c r="J13" i="11" s="1"/>
  <c r="P94" i="11" l="1"/>
  <c r="H29" i="11" s="1"/>
  <c r="R82" i="11"/>
  <c r="J28" i="11" s="1"/>
  <c r="J94" i="11"/>
  <c r="E83" i="5"/>
  <c r="G72" i="5"/>
  <c r="I13" i="5" s="1"/>
  <c r="D106" i="11"/>
  <c r="C106" i="11"/>
  <c r="E106" i="11" s="1"/>
  <c r="H72" i="5" l="1"/>
  <c r="I23" i="5" s="1"/>
  <c r="B84" i="5"/>
  <c r="H106" i="11"/>
  <c r="I106" i="11" s="1"/>
  <c r="B107" i="11" s="1"/>
  <c r="L94" i="11"/>
  <c r="D84" i="5" l="1"/>
  <c r="M94" i="11"/>
  <c r="C107" i="11"/>
  <c r="D107" i="11"/>
  <c r="J95" i="11" l="1"/>
  <c r="E107" i="11"/>
  <c r="E84" i="5"/>
  <c r="L95" i="11" l="1"/>
  <c r="B85" i="5"/>
  <c r="H107" i="11"/>
  <c r="I107" i="11" s="1"/>
  <c r="B108" i="11" s="1"/>
  <c r="D108" i="11" l="1"/>
  <c r="C108" i="11"/>
  <c r="M95" i="11"/>
  <c r="D85" i="5"/>
  <c r="E85" i="5" l="1"/>
  <c r="J96" i="11"/>
  <c r="E108" i="11"/>
  <c r="H108" i="11" l="1"/>
  <c r="I108" i="11" s="1"/>
  <c r="B109" i="11" s="1"/>
  <c r="L96" i="11"/>
  <c r="B86" i="5"/>
  <c r="M96" i="11" l="1"/>
  <c r="D86" i="5"/>
  <c r="D109" i="11"/>
  <c r="C109" i="11"/>
  <c r="E109" i="11" s="1"/>
  <c r="H109" i="11" l="1"/>
  <c r="I109" i="11" s="1"/>
  <c r="B110" i="11" s="1"/>
  <c r="J97" i="11"/>
  <c r="E86" i="5"/>
  <c r="D110" i="11" l="1"/>
  <c r="C110" i="11"/>
  <c r="B87" i="5"/>
  <c r="L97" i="11"/>
  <c r="M97" i="11" l="1"/>
  <c r="D87" i="5"/>
  <c r="E110" i="11"/>
  <c r="H110" i="11" s="1"/>
  <c r="I110" i="11" s="1"/>
  <c r="B111" i="11" s="1"/>
  <c r="C111" i="11" l="1"/>
  <c r="D111" i="11"/>
  <c r="J98" i="11"/>
  <c r="E87" i="5"/>
  <c r="B88" i="5" l="1"/>
  <c r="L98" i="11"/>
  <c r="E111" i="11"/>
  <c r="H111" i="11" s="1"/>
  <c r="I111" i="11" s="1"/>
  <c r="B112" i="11" s="1"/>
  <c r="D88" i="5" l="1"/>
  <c r="M98" i="11"/>
  <c r="C112" i="11"/>
  <c r="D112" i="11"/>
  <c r="J99" i="11" l="1"/>
  <c r="E112" i="11"/>
  <c r="H112" i="11" s="1"/>
  <c r="I112" i="11" s="1"/>
  <c r="B113" i="11" s="1"/>
  <c r="E88" i="5"/>
  <c r="B89" i="5" l="1"/>
  <c r="C113" i="11"/>
  <c r="E113" i="11" s="1"/>
  <c r="H113" i="11" s="1"/>
  <c r="I113" i="11" s="1"/>
  <c r="B114" i="11" s="1"/>
  <c r="D113" i="11"/>
  <c r="L99" i="11"/>
  <c r="M99" i="11" s="1"/>
  <c r="J100" i="11" s="1"/>
  <c r="D114" i="11" l="1"/>
  <c r="C114" i="11"/>
  <c r="L100" i="11"/>
  <c r="M100" i="11" s="1"/>
  <c r="J101" i="11" s="1"/>
  <c r="D89" i="5"/>
  <c r="E89" i="5" s="1"/>
  <c r="B90" i="5" s="1"/>
  <c r="E114" i="11" l="1"/>
  <c r="H114" i="11" s="1"/>
  <c r="I114" i="11" s="1"/>
  <c r="B115" i="11" s="1"/>
  <c r="C115" i="11" s="1"/>
  <c r="L101" i="11"/>
  <c r="M101" i="11" s="1"/>
  <c r="J102" i="11" s="1"/>
  <c r="D90" i="5"/>
  <c r="E90" i="5" s="1"/>
  <c r="B91" i="5" s="1"/>
  <c r="D115" i="11" l="1"/>
  <c r="E115" i="11" s="1"/>
  <c r="H115" i="11" s="1"/>
  <c r="I115" i="11" s="1"/>
  <c r="B116" i="11" s="1"/>
  <c r="L102" i="11"/>
  <c r="M102" i="11" s="1"/>
  <c r="J103" i="11" s="1"/>
  <c r="D91" i="5"/>
  <c r="E91" i="5" s="1"/>
  <c r="B92" i="5" s="1"/>
  <c r="D116" i="11" l="1"/>
  <c r="C116" i="11"/>
  <c r="D92" i="5"/>
  <c r="E92" i="5" s="1"/>
  <c r="B93" i="5" s="1"/>
  <c r="L103" i="11"/>
  <c r="M103" i="11" s="1"/>
  <c r="J104" i="11" s="1"/>
  <c r="E116" i="11" l="1"/>
  <c r="H116" i="11" s="1"/>
  <c r="I116" i="11" s="1"/>
  <c r="B117" i="11" s="1"/>
  <c r="D93" i="5"/>
  <c r="E93" i="5" s="1"/>
  <c r="B94" i="5" s="1"/>
  <c r="L104" i="11"/>
  <c r="M104" i="11" s="1"/>
  <c r="J105" i="11" s="1"/>
  <c r="D117" i="11" l="1"/>
  <c r="O106" i="11" s="1"/>
  <c r="H15" i="11" s="1"/>
  <c r="C117" i="11"/>
  <c r="E117" i="11" s="1"/>
  <c r="H117" i="11" s="1"/>
  <c r="I117" i="11" s="1"/>
  <c r="B118" i="11" s="1"/>
  <c r="L105" i="11"/>
  <c r="D94" i="5"/>
  <c r="E94" i="5" s="1"/>
  <c r="B95" i="5" s="1"/>
  <c r="D95" i="5" l="1"/>
  <c r="C118" i="11"/>
  <c r="D118" i="11"/>
  <c r="M105" i="11"/>
  <c r="Q94" i="11"/>
  <c r="J14" i="11" s="1"/>
  <c r="P106" i="11"/>
  <c r="H30" i="11" s="1"/>
  <c r="E118" i="11" l="1"/>
  <c r="H118" i="11" s="1"/>
  <c r="I118" i="11" s="1"/>
  <c r="B119" i="11" s="1"/>
  <c r="R94" i="11"/>
  <c r="J29" i="11" s="1"/>
  <c r="J106" i="11"/>
  <c r="E95" i="5"/>
  <c r="G84" i="5"/>
  <c r="I14" i="5" s="1"/>
  <c r="D119" i="11" l="1"/>
  <c r="C119" i="11"/>
  <c r="E119" i="11" s="1"/>
  <c r="L106" i="11"/>
  <c r="H84" i="5"/>
  <c r="B96" i="5"/>
  <c r="D96" i="5" l="1"/>
  <c r="E96" i="5" s="1"/>
  <c r="B97" i="5" s="1"/>
  <c r="I24" i="5"/>
  <c r="H119" i="11"/>
  <c r="I119" i="11" s="1"/>
  <c r="B120" i="11" s="1"/>
  <c r="M106" i="11"/>
  <c r="J107" i="11" l="1"/>
  <c r="D97" i="5"/>
  <c r="E97" i="5" s="1"/>
  <c r="B98" i="5"/>
  <c r="D120" i="11"/>
  <c r="C120" i="11"/>
  <c r="E120" i="11" s="1"/>
  <c r="D98" i="5" l="1"/>
  <c r="E98" i="5" s="1"/>
  <c r="B99" i="5" s="1"/>
  <c r="H120" i="11"/>
  <c r="I120" i="11" s="1"/>
  <c r="B121" i="11" s="1"/>
  <c r="L107" i="11"/>
  <c r="D99" i="5" l="1"/>
  <c r="E99" i="5" s="1"/>
  <c r="B100" i="5" s="1"/>
  <c r="D121" i="11"/>
  <c r="C121" i="11"/>
  <c r="E121" i="11" s="1"/>
  <c r="H121" i="11" s="1"/>
  <c r="I121" i="11" s="1"/>
  <c r="B122" i="11" s="1"/>
  <c r="M107" i="11"/>
  <c r="D122" i="11" l="1"/>
  <c r="C122" i="11"/>
  <c r="D100" i="5"/>
  <c r="E100" i="5" s="1"/>
  <c r="B101" i="5" s="1"/>
  <c r="J108" i="11"/>
  <c r="E122" i="11" l="1"/>
  <c r="H122" i="11" s="1"/>
  <c r="I122" i="11" s="1"/>
  <c r="B123" i="11" s="1"/>
  <c r="C123" i="11" s="1"/>
  <c r="L108" i="11"/>
  <c r="D101" i="5"/>
  <c r="E101" i="5" s="1"/>
  <c r="B102" i="5" s="1"/>
  <c r="D123" i="11" l="1"/>
  <c r="E123" i="11" s="1"/>
  <c r="H123" i="11" s="1"/>
  <c r="I123" i="11" s="1"/>
  <c r="B124" i="11" s="1"/>
  <c r="D102" i="5"/>
  <c r="E102" i="5" s="1"/>
  <c r="B103" i="5" s="1"/>
  <c r="M108" i="11"/>
  <c r="J109" i="11" l="1"/>
  <c r="D103" i="5"/>
  <c r="E103" i="5" s="1"/>
  <c r="B104" i="5" s="1"/>
  <c r="C124" i="11"/>
  <c r="D124" i="11"/>
  <c r="D104" i="5" l="1"/>
  <c r="E104" i="5" s="1"/>
  <c r="B105" i="5" s="1"/>
  <c r="E124" i="11"/>
  <c r="H124" i="11" s="1"/>
  <c r="I124" i="11" s="1"/>
  <c r="B125" i="11" s="1"/>
  <c r="L109" i="11"/>
  <c r="M109" i="11" l="1"/>
  <c r="C125" i="11"/>
  <c r="E125" i="11" s="1"/>
  <c r="H125" i="11" s="1"/>
  <c r="I125" i="11" s="1"/>
  <c r="B126" i="11" s="1"/>
  <c r="D125" i="11"/>
  <c r="D105" i="5"/>
  <c r="E105" i="5" s="1"/>
  <c r="B106" i="5" s="1"/>
  <c r="D106" i="5" l="1"/>
  <c r="E106" i="5" s="1"/>
  <c r="B107" i="5" s="1"/>
  <c r="D126" i="11"/>
  <c r="C126" i="11"/>
  <c r="J110" i="11"/>
  <c r="L110" i="11" l="1"/>
  <c r="E126" i="11"/>
  <c r="H126" i="11" s="1"/>
  <c r="I126" i="11" s="1"/>
  <c r="B127" i="11" s="1"/>
  <c r="D107" i="5"/>
  <c r="E107" i="5" s="1"/>
  <c r="B108" i="5" s="1"/>
  <c r="D108" i="5" l="1"/>
  <c r="E108" i="5" s="1"/>
  <c r="B109" i="5" s="1"/>
  <c r="C127" i="11"/>
  <c r="D127" i="11"/>
  <c r="M110" i="11"/>
  <c r="E127" i="11" l="1"/>
  <c r="H127" i="11" s="1"/>
  <c r="I127" i="11" s="1"/>
  <c r="B128" i="11" s="1"/>
  <c r="D128" i="11" s="1"/>
  <c r="D109" i="5"/>
  <c r="E109" i="5" s="1"/>
  <c r="B110" i="5" s="1"/>
  <c r="J111" i="11"/>
  <c r="C128" i="11" l="1"/>
  <c r="E128" i="11" s="1"/>
  <c r="H128" i="11" s="1"/>
  <c r="I128" i="11" s="1"/>
  <c r="B129" i="11" s="1"/>
  <c r="C129" i="11" s="1"/>
  <c r="D110" i="5"/>
  <c r="E110" i="5" s="1"/>
  <c r="B111" i="5" s="1"/>
  <c r="L111" i="11"/>
  <c r="M111" i="11" s="1"/>
  <c r="J112" i="11" s="1"/>
  <c r="D129" i="11" l="1"/>
  <c r="O118" i="11" s="1"/>
  <c r="H16" i="11" s="1"/>
  <c r="L112" i="11"/>
  <c r="M112" i="11" s="1"/>
  <c r="J113" i="11" s="1"/>
  <c r="D111" i="5"/>
  <c r="E111" i="5" s="1"/>
  <c r="B112" i="5" s="1"/>
  <c r="E129" i="11" l="1"/>
  <c r="L113" i="11"/>
  <c r="M113" i="11" s="1"/>
  <c r="J114" i="11" s="1"/>
  <c r="D112" i="5"/>
  <c r="E112" i="5" s="1"/>
  <c r="B113" i="5" s="1"/>
  <c r="H129" i="11"/>
  <c r="I129" i="11" s="1"/>
  <c r="B130" i="11" s="1"/>
  <c r="D113" i="5" l="1"/>
  <c r="E113" i="5" s="1"/>
  <c r="B114" i="5"/>
  <c r="C130" i="11"/>
  <c r="D130" i="11"/>
  <c r="L114" i="11"/>
  <c r="M114" i="11" s="1"/>
  <c r="J115" i="11" s="1"/>
  <c r="P118" i="11"/>
  <c r="H31" i="11" s="1"/>
  <c r="E130" i="11" l="1"/>
  <c r="L115" i="11"/>
  <c r="M115" i="11" s="1"/>
  <c r="J116" i="11" s="1"/>
  <c r="D114" i="5"/>
  <c r="E114" i="5" s="1"/>
  <c r="B115" i="5" s="1"/>
  <c r="H130" i="11"/>
  <c r="I130" i="11" s="1"/>
  <c r="B131" i="11" s="1"/>
  <c r="D115" i="5" l="1"/>
  <c r="E115" i="5" s="1"/>
  <c r="B116" i="5"/>
  <c r="L116" i="11"/>
  <c r="M116" i="11" s="1"/>
  <c r="J117" i="11"/>
  <c r="D131" i="11"/>
  <c r="C131" i="11"/>
  <c r="E131" i="11" s="1"/>
  <c r="L117" i="11" l="1"/>
  <c r="H131" i="11"/>
  <c r="I131" i="11" s="1"/>
  <c r="B132" i="11" s="1"/>
  <c r="D116" i="5"/>
  <c r="E116" i="5" s="1"/>
  <c r="B117" i="5" s="1"/>
  <c r="D117" i="5" l="1"/>
  <c r="E117" i="5" s="1"/>
  <c r="B118" i="5" s="1"/>
  <c r="M117" i="11"/>
  <c r="Q106" i="11"/>
  <c r="J15" i="11" s="1"/>
  <c r="D132" i="11"/>
  <c r="C132" i="11"/>
  <c r="E132" i="11" l="1"/>
  <c r="D118" i="5"/>
  <c r="E118" i="5" s="1"/>
  <c r="B119" i="5" s="1"/>
  <c r="H132" i="11"/>
  <c r="I132" i="11" s="1"/>
  <c r="B133" i="11" s="1"/>
  <c r="R106" i="11"/>
  <c r="J30" i="11" s="1"/>
  <c r="J118" i="11"/>
  <c r="D119" i="5" l="1"/>
  <c r="E119" i="5" s="1"/>
  <c r="B120" i="5" s="1"/>
  <c r="C133" i="11"/>
  <c r="E133" i="11" s="1"/>
  <c r="H133" i="11" s="1"/>
  <c r="I133" i="11" s="1"/>
  <c r="B134" i="11" s="1"/>
  <c r="D133" i="11"/>
  <c r="L118" i="11"/>
  <c r="D134" i="11" l="1"/>
  <c r="C134" i="11"/>
  <c r="E134" i="11" s="1"/>
  <c r="H134" i="11" s="1"/>
  <c r="I134" i="11" s="1"/>
  <c r="B135" i="11" s="1"/>
  <c r="M118" i="11"/>
  <c r="D120" i="5"/>
  <c r="E120" i="5" s="1"/>
  <c r="B121" i="5" s="1"/>
  <c r="D135" i="11" l="1"/>
  <c r="C135" i="11"/>
  <c r="E135" i="11" s="1"/>
  <c r="H135" i="11" s="1"/>
  <c r="I135" i="11" s="1"/>
  <c r="B136" i="11" s="1"/>
  <c r="D121" i="5"/>
  <c r="E121" i="5" s="1"/>
  <c r="B122" i="5"/>
  <c r="J119" i="11"/>
  <c r="D136" i="11" l="1"/>
  <c r="C136" i="11"/>
  <c r="E136" i="11" s="1"/>
  <c r="H136" i="11" s="1"/>
  <c r="I136" i="11" s="1"/>
  <c r="B137" i="11" s="1"/>
  <c r="L119" i="11"/>
  <c r="D122" i="5"/>
  <c r="E122" i="5" s="1"/>
  <c r="B123" i="5" s="1"/>
  <c r="D123" i="5" l="1"/>
  <c r="E123" i="5" s="1"/>
  <c r="B124" i="5" s="1"/>
  <c r="D137" i="11"/>
  <c r="C137" i="11"/>
  <c r="M119" i="11"/>
  <c r="J120" i="11" l="1"/>
  <c r="D124" i="5"/>
  <c r="E124" i="5" s="1"/>
  <c r="B125" i="5" s="1"/>
  <c r="E137" i="11"/>
  <c r="H137" i="11" s="1"/>
  <c r="I137" i="11" s="1"/>
  <c r="B138" i="11" s="1"/>
  <c r="C138" i="11" l="1"/>
  <c r="D138" i="11"/>
  <c r="D125" i="5"/>
  <c r="E125" i="5" s="1"/>
  <c r="B126" i="5" s="1"/>
  <c r="L120" i="11"/>
  <c r="D126" i="5" l="1"/>
  <c r="E126" i="5" s="1"/>
  <c r="B127" i="5" s="1"/>
  <c r="M120" i="11"/>
  <c r="E138" i="11"/>
  <c r="H138" i="11" s="1"/>
  <c r="I138" i="11" s="1"/>
  <c r="B139" i="11" s="1"/>
  <c r="J121" i="11" l="1"/>
  <c r="D127" i="5"/>
  <c r="E127" i="5" s="1"/>
  <c r="B128" i="5" s="1"/>
  <c r="C139" i="11"/>
  <c r="D139" i="11"/>
  <c r="D128" i="5" l="1"/>
  <c r="E128" i="5" s="1"/>
  <c r="B129" i="5" s="1"/>
  <c r="E139" i="11"/>
  <c r="H139" i="11" s="1"/>
  <c r="I139" i="11" s="1"/>
  <c r="B140" i="11" s="1"/>
  <c r="L121" i="11"/>
  <c r="D140" i="11" l="1"/>
  <c r="C140" i="11"/>
  <c r="E140" i="11" s="1"/>
  <c r="H140" i="11" s="1"/>
  <c r="I140" i="11" s="1"/>
  <c r="B141" i="11" s="1"/>
  <c r="D129" i="5"/>
  <c r="E129" i="5" s="1"/>
  <c r="B130" i="5" s="1"/>
  <c r="M121" i="11"/>
  <c r="D141" i="11" l="1"/>
  <c r="O130" i="11" s="1"/>
  <c r="H17" i="11" s="1"/>
  <c r="C141" i="11"/>
  <c r="E141" i="11" s="1"/>
  <c r="J122" i="11"/>
  <c r="D130" i="5"/>
  <c r="E130" i="5" s="1"/>
  <c r="B131" i="5" s="1"/>
  <c r="D131" i="5" l="1"/>
  <c r="E131" i="5" s="1"/>
  <c r="B132" i="5" s="1"/>
  <c r="L122" i="11"/>
  <c r="H141" i="11"/>
  <c r="I141" i="11" s="1"/>
  <c r="B142" i="11" s="1"/>
  <c r="P130" i="11" l="1"/>
  <c r="H32" i="11" s="1"/>
  <c r="D142" i="11"/>
  <c r="C142" i="11"/>
  <c r="E142" i="11" s="1"/>
  <c r="D132" i="5"/>
  <c r="E132" i="5" s="1"/>
  <c r="B133" i="5" s="1"/>
  <c r="M122" i="11"/>
  <c r="J123" i="11" l="1"/>
  <c r="H142" i="11"/>
  <c r="I142" i="11" s="1"/>
  <c r="B143" i="11" s="1"/>
  <c r="D133" i="5"/>
  <c r="E133" i="5" s="1"/>
  <c r="B134" i="5" s="1"/>
  <c r="D143" i="11" l="1"/>
  <c r="C143" i="11"/>
  <c r="E143" i="11" s="1"/>
  <c r="H143" i="11" s="1"/>
  <c r="I143" i="11" s="1"/>
  <c r="B144" i="11" s="1"/>
  <c r="L123" i="11"/>
  <c r="M123" i="11" s="1"/>
  <c r="J124" i="11" s="1"/>
  <c r="D134" i="5"/>
  <c r="E134" i="5" s="1"/>
  <c r="B135" i="5" s="1"/>
  <c r="C144" i="11" l="1"/>
  <c r="D144" i="11"/>
  <c r="D135" i="5"/>
  <c r="E135" i="5" s="1"/>
  <c r="B136" i="5" s="1"/>
  <c r="L124" i="11"/>
  <c r="M124" i="11" s="1"/>
  <c r="J125" i="11" s="1"/>
  <c r="D136" i="5" l="1"/>
  <c r="E136" i="5" s="1"/>
  <c r="B137" i="5" s="1"/>
  <c r="L125" i="11"/>
  <c r="M125" i="11" s="1"/>
  <c r="J126" i="11" s="1"/>
  <c r="E144" i="11"/>
  <c r="L126" i="11" l="1"/>
  <c r="M126" i="11" s="1"/>
  <c r="J127" i="11" s="1"/>
  <c r="H144" i="11"/>
  <c r="I144" i="11" s="1"/>
  <c r="B145" i="11" s="1"/>
  <c r="D137" i="5"/>
  <c r="E137" i="5" s="1"/>
  <c r="B138" i="5" s="1"/>
  <c r="L127" i="11" l="1"/>
  <c r="M127" i="11" s="1"/>
  <c r="J128" i="11" s="1"/>
  <c r="D145" i="11"/>
  <c r="C145" i="11"/>
  <c r="D138" i="5"/>
  <c r="E138" i="5" s="1"/>
  <c r="B139" i="5" s="1"/>
  <c r="D139" i="5" l="1"/>
  <c r="E139" i="5" s="1"/>
  <c r="B140" i="5" s="1"/>
  <c r="L128" i="11"/>
  <c r="M128" i="11" s="1"/>
  <c r="J129" i="11" s="1"/>
  <c r="E145" i="11"/>
  <c r="H145" i="11" s="1"/>
  <c r="I145" i="11" s="1"/>
  <c r="B146" i="11" s="1"/>
  <c r="D140" i="5" l="1"/>
  <c r="E140" i="5" s="1"/>
  <c r="B141" i="5"/>
  <c r="L129" i="11"/>
  <c r="C146" i="11"/>
  <c r="D146" i="11"/>
  <c r="M129" i="11" l="1"/>
  <c r="Q118" i="11"/>
  <c r="J16" i="11" s="1"/>
  <c r="D141" i="5"/>
  <c r="E141" i="5" s="1"/>
  <c r="B142" i="5" s="1"/>
  <c r="E146" i="11"/>
  <c r="H146" i="11" s="1"/>
  <c r="I146" i="11" s="1"/>
  <c r="B147" i="11" s="1"/>
  <c r="D142" i="5" l="1"/>
  <c r="E142" i="5" s="1"/>
  <c r="B143" i="5" s="1"/>
  <c r="D147" i="11"/>
  <c r="C147" i="11"/>
  <c r="R118" i="11"/>
  <c r="J31" i="11" s="1"/>
  <c r="J130" i="11"/>
  <c r="D143" i="5" l="1"/>
  <c r="E143" i="5" s="1"/>
  <c r="B144" i="5" s="1"/>
  <c r="L130" i="11"/>
  <c r="E147" i="11"/>
  <c r="H147" i="11" s="1"/>
  <c r="I147" i="11" s="1"/>
  <c r="B148" i="11" s="1"/>
  <c r="M130" i="11" l="1"/>
  <c r="D144" i="5"/>
  <c r="E144" i="5" s="1"/>
  <c r="B145" i="5" s="1"/>
  <c r="D148" i="11"/>
  <c r="C148" i="11"/>
  <c r="E148" i="11" s="1"/>
  <c r="H148" i="11" s="1"/>
  <c r="I148" i="11" s="1"/>
  <c r="B149" i="11" s="1"/>
  <c r="D149" i="11" l="1"/>
  <c r="C149" i="11"/>
  <c r="E149" i="11" s="1"/>
  <c r="H149" i="11" s="1"/>
  <c r="I149" i="11" s="1"/>
  <c r="B150" i="11" s="1"/>
  <c r="D145" i="5"/>
  <c r="E145" i="5" s="1"/>
  <c r="B146" i="5" s="1"/>
  <c r="J131" i="11"/>
  <c r="L131" i="11" l="1"/>
  <c r="D150" i="11"/>
  <c r="C150" i="11"/>
  <c r="D146" i="5"/>
  <c r="E146" i="5" s="1"/>
  <c r="B147" i="5" s="1"/>
  <c r="D147" i="5" l="1"/>
  <c r="E147" i="5" s="1"/>
  <c r="B148" i="5" s="1"/>
  <c r="E150" i="11"/>
  <c r="H150" i="11" s="1"/>
  <c r="I150" i="11" s="1"/>
  <c r="B151" i="11" s="1"/>
  <c r="M131" i="11"/>
  <c r="D148" i="5" l="1"/>
  <c r="E148" i="5" s="1"/>
  <c r="B149" i="5" s="1"/>
  <c r="J132" i="11"/>
  <c r="C151" i="11"/>
  <c r="E151" i="11" s="1"/>
  <c r="H151" i="11" s="1"/>
  <c r="I151" i="11" s="1"/>
  <c r="B152" i="11" s="1"/>
  <c r="D151" i="11"/>
  <c r="D152" i="11" l="1"/>
  <c r="C152" i="11"/>
  <c r="E152" i="11" s="1"/>
  <c r="H152" i="11" s="1"/>
  <c r="I152" i="11" s="1"/>
  <c r="B153" i="11" s="1"/>
  <c r="D149" i="5"/>
  <c r="E149" i="5" s="1"/>
  <c r="B150" i="5" s="1"/>
  <c r="L132" i="11"/>
  <c r="C153" i="11" l="1"/>
  <c r="D153" i="11"/>
  <c r="O142" i="11" s="1"/>
  <c r="H18" i="11" s="1"/>
  <c r="M132" i="11"/>
  <c r="D150" i="5"/>
  <c r="E150" i="5" s="1"/>
  <c r="B151" i="5" s="1"/>
  <c r="D151" i="5" l="1"/>
  <c r="E151" i="5" s="1"/>
  <c r="B152" i="5" s="1"/>
  <c r="E153" i="11"/>
  <c r="J133" i="11"/>
  <c r="H153" i="11" l="1"/>
  <c r="I153" i="11" s="1"/>
  <c r="B154" i="11" s="1"/>
  <c r="D152" i="5"/>
  <c r="E152" i="5" s="1"/>
  <c r="B153" i="5" s="1"/>
  <c r="L133" i="11"/>
  <c r="P142" i="11" l="1"/>
  <c r="H33" i="11" s="1"/>
  <c r="D153" i="5"/>
  <c r="E153" i="5" s="1"/>
  <c r="B154" i="5" s="1"/>
  <c r="C154" i="11"/>
  <c r="E154" i="11" s="1"/>
  <c r="D154" i="11"/>
  <c r="M133" i="11"/>
  <c r="H154" i="11" l="1"/>
  <c r="I154" i="11" s="1"/>
  <c r="B155" i="11" s="1"/>
  <c r="J134" i="11"/>
  <c r="D154" i="5"/>
  <c r="E154" i="5" s="1"/>
  <c r="B155" i="5" s="1"/>
  <c r="D155" i="5" s="1"/>
  <c r="E155" i="5" s="1"/>
  <c r="D155" i="11" l="1"/>
  <c r="C155" i="11"/>
  <c r="E155" i="11" s="1"/>
  <c r="L134" i="11"/>
  <c r="M134" i="11" l="1"/>
  <c r="H155" i="11"/>
  <c r="I155" i="11" s="1"/>
  <c r="B156" i="11" s="1"/>
  <c r="D156" i="11" l="1"/>
  <c r="C156" i="11"/>
  <c r="E156" i="11" s="1"/>
  <c r="J135" i="11"/>
  <c r="H156" i="11" l="1"/>
  <c r="I156" i="11" s="1"/>
  <c r="B157" i="11" s="1"/>
  <c r="L135" i="11"/>
  <c r="M135" i="11" s="1"/>
  <c r="J136" i="11" s="1"/>
  <c r="L136" i="11" l="1"/>
  <c r="M136" i="11" s="1"/>
  <c r="J137" i="11"/>
  <c r="C157" i="11"/>
  <c r="D157" i="11"/>
  <c r="E157" i="11" l="1"/>
  <c r="H157" i="11" s="1"/>
  <c r="I157" i="11" s="1"/>
  <c r="B158" i="11" s="1"/>
  <c r="D158" i="11" s="1"/>
  <c r="C158" i="11"/>
  <c r="L137" i="11"/>
  <c r="M137" i="11" s="1"/>
  <c r="J138" i="11" s="1"/>
  <c r="L138" i="11" l="1"/>
  <c r="M138" i="11" s="1"/>
  <c r="J139" i="11" s="1"/>
  <c r="E158" i="11"/>
  <c r="H158" i="11" s="1"/>
  <c r="I158" i="11" s="1"/>
  <c r="B159" i="11" s="1"/>
  <c r="L139" i="11" l="1"/>
  <c r="M139" i="11" s="1"/>
  <c r="J140" i="11" s="1"/>
  <c r="D159" i="11"/>
  <c r="C159" i="11"/>
  <c r="E159" i="11" s="1"/>
  <c r="H159" i="11" s="1"/>
  <c r="I159" i="11" s="1"/>
  <c r="B160" i="11" s="1"/>
  <c r="C160" i="11" l="1"/>
  <c r="E160" i="11" s="1"/>
  <c r="H160" i="11" s="1"/>
  <c r="I160" i="11" s="1"/>
  <c r="B161" i="11" s="1"/>
  <c r="D160" i="11"/>
  <c r="L140" i="11"/>
  <c r="M140" i="11" s="1"/>
  <c r="J141" i="11" s="1"/>
  <c r="D161" i="11" l="1"/>
  <c r="C161" i="11"/>
  <c r="E161" i="11" s="1"/>
  <c r="H161" i="11" s="1"/>
  <c r="I161" i="11" s="1"/>
  <c r="B162" i="11" s="1"/>
  <c r="L141" i="11"/>
  <c r="C162" i="11" l="1"/>
  <c r="E162" i="11" s="1"/>
  <c r="H162" i="11" s="1"/>
  <c r="I162" i="11" s="1"/>
  <c r="B163" i="11" s="1"/>
  <c r="D162" i="11"/>
  <c r="M141" i="11"/>
  <c r="Q130" i="11"/>
  <c r="J17" i="11" s="1"/>
  <c r="D163" i="11" l="1"/>
  <c r="C163" i="11"/>
  <c r="E163" i="11" s="1"/>
  <c r="H163" i="11" s="1"/>
  <c r="I163" i="11" s="1"/>
  <c r="B164" i="11" s="1"/>
  <c r="R130" i="11"/>
  <c r="J32" i="11" s="1"/>
  <c r="J142" i="11"/>
  <c r="C164" i="11" l="1"/>
  <c r="D164" i="11"/>
  <c r="L142" i="11"/>
  <c r="M142" i="11" l="1"/>
  <c r="E164" i="11"/>
  <c r="H164" i="11" s="1"/>
  <c r="I164" i="11" s="1"/>
  <c r="B165" i="11" s="1"/>
  <c r="C165" i="11" l="1"/>
  <c r="D165" i="11"/>
  <c r="O154" i="11" s="1"/>
  <c r="H19" i="11" s="1"/>
  <c r="J143" i="11"/>
  <c r="L143" i="11" l="1"/>
  <c r="E165" i="11"/>
  <c r="H165" i="11" l="1"/>
  <c r="I165" i="11" s="1"/>
  <c r="M143" i="11"/>
  <c r="J144" i="11" l="1"/>
  <c r="P154" i="11"/>
  <c r="H34" i="11" s="1"/>
  <c r="L144" i="11" l="1"/>
  <c r="M144" i="11" l="1"/>
  <c r="J145" i="11" l="1"/>
  <c r="L145" i="11" l="1"/>
  <c r="M145" i="11" l="1"/>
  <c r="J146" i="11" l="1"/>
  <c r="L146" i="11" l="1"/>
  <c r="M146" i="11" l="1"/>
  <c r="J147" i="11" l="1"/>
  <c r="L147" i="11" l="1"/>
  <c r="M147" i="11" s="1"/>
  <c r="J148" i="11" s="1"/>
  <c r="L148" i="11" l="1"/>
  <c r="M148" i="11" s="1"/>
  <c r="J149" i="11" s="1"/>
  <c r="L149" i="11" l="1"/>
  <c r="M149" i="11" s="1"/>
  <c r="J150" i="11" s="1"/>
  <c r="L150" i="11" l="1"/>
  <c r="M150" i="11" s="1"/>
  <c r="J151" i="11"/>
  <c r="L151" i="11" l="1"/>
  <c r="M151" i="11" s="1"/>
  <c r="J152" i="11"/>
  <c r="L152" i="11" l="1"/>
  <c r="M152" i="11" s="1"/>
  <c r="J153" i="11" s="1"/>
  <c r="L153" i="11" l="1"/>
  <c r="M153" i="11" l="1"/>
  <c r="Q142" i="11"/>
  <c r="J18" i="11" s="1"/>
  <c r="R142" i="11" l="1"/>
  <c r="J33" i="11" s="1"/>
  <c r="J154" i="11"/>
  <c r="L154" i="11" l="1"/>
  <c r="M154" i="11" l="1"/>
  <c r="J155" i="11" l="1"/>
  <c r="L155" i="11" l="1"/>
  <c r="M155" i="11" l="1"/>
  <c r="J156" i="11" l="1"/>
  <c r="L156" i="11" l="1"/>
  <c r="M156" i="11" l="1"/>
  <c r="J157" i="11" l="1"/>
  <c r="L157" i="11" l="1"/>
  <c r="M157" i="11" l="1"/>
  <c r="J158" i="11" l="1"/>
  <c r="L158" i="11" l="1"/>
  <c r="M158" i="11" l="1"/>
  <c r="J159" i="11" l="1"/>
  <c r="L159" i="11" l="1"/>
  <c r="M159" i="11" s="1"/>
  <c r="J160" i="11" s="1"/>
  <c r="L160" i="11" l="1"/>
  <c r="M160" i="11" s="1"/>
  <c r="J161" i="11" s="1"/>
  <c r="L161" i="11" l="1"/>
  <c r="M161" i="11" s="1"/>
  <c r="J162" i="11" s="1"/>
  <c r="L162" i="11" l="1"/>
  <c r="M162" i="11" s="1"/>
  <c r="J163" i="11" s="1"/>
  <c r="L163" i="11" l="1"/>
  <c r="M163" i="11" s="1"/>
  <c r="J164" i="11" s="1"/>
  <c r="L164" i="11" l="1"/>
  <c r="M164" i="11" s="1"/>
  <c r="J165" i="11" s="1"/>
  <c r="L165" i="11" s="1"/>
  <c r="M165" i="11" l="1"/>
  <c r="R154" i="11" s="1"/>
  <c r="J34" i="11" s="1"/>
  <c r="Q154" i="11"/>
  <c r="J19" i="11" s="1"/>
</calcChain>
</file>

<file path=xl/sharedStrings.xml><?xml version="1.0" encoding="utf-8"?>
<sst xmlns="http://schemas.openxmlformats.org/spreadsheetml/2006/main" count="928" uniqueCount="147">
  <si>
    <t>9R1999999</t>
  </si>
  <si>
    <t>9R1000001</t>
  </si>
  <si>
    <t>z</t>
  </si>
  <si>
    <t>h</t>
  </si>
  <si>
    <t>g</t>
  </si>
  <si>
    <t>f</t>
  </si>
  <si>
    <t>e</t>
  </si>
  <si>
    <t>d</t>
  </si>
  <si>
    <t>c</t>
  </si>
  <si>
    <t>b</t>
  </si>
  <si>
    <t>a</t>
  </si>
  <si>
    <t>Mód</t>
  </si>
  <si>
    <t>Modellezett termékek eredeti (szerződéses) pénzáramlásának (átárazódásának) összege</t>
  </si>
  <si>
    <t>Szerződés szerinti pénzáramlás (átárazódás) összege</t>
  </si>
  <si>
    <t>Modellezett pénzáramlás (átárazódás) összege</t>
  </si>
  <si>
    <t>Átárazódás időkategóriája</t>
  </si>
  <si>
    <t>Pénzáramlás (átárazódás) típusa</t>
  </si>
  <si>
    <t>Kamatozás típusa</t>
  </si>
  <si>
    <t>Termékkód</t>
  </si>
  <si>
    <t>Devizanem</t>
  </si>
  <si>
    <t>Megnevezés</t>
  </si>
  <si>
    <t>Sorkód</t>
  </si>
  <si>
    <t>Nagyságrend: forint</t>
  </si>
  <si>
    <t>9R1</t>
  </si>
  <si>
    <t>Pénz - küszöb alatt</t>
  </si>
  <si>
    <t>Pénz - nincs adat</t>
  </si>
  <si>
    <t>Pénz</t>
  </si>
  <si>
    <t>Dátum</t>
  </si>
  <si>
    <t>Felsorolt</t>
  </si>
  <si>
    <t>Karakteres</t>
  </si>
  <si>
    <t>Numerikus - küszöb alatti</t>
  </si>
  <si>
    <t>Numerikus - nincs adat</t>
  </si>
  <si>
    <t>Numerikus</t>
  </si>
  <si>
    <t>Tilos</t>
  </si>
  <si>
    <t>Jelmagyarázat</t>
  </si>
  <si>
    <t>EUR</t>
  </si>
  <si>
    <t>HUF</t>
  </si>
  <si>
    <t>Sorszám</t>
  </si>
  <si>
    <t>...</t>
  </si>
  <si>
    <t>Banki könyvi kamatlábkockázat - Kamatkockázati adatok</t>
  </si>
  <si>
    <t>Termék</t>
  </si>
  <si>
    <t>Névérték</t>
  </si>
  <si>
    <t>Hátralévő futamidő</t>
  </si>
  <si>
    <t>Teljes futamidő</t>
  </si>
  <si>
    <t>Kamat</t>
  </si>
  <si>
    <t>változó</t>
  </si>
  <si>
    <t>Kamatbázis</t>
  </si>
  <si>
    <t>Kamatfelár</t>
  </si>
  <si>
    <t>BUBOR3M</t>
  </si>
  <si>
    <t>+50bps</t>
  </si>
  <si>
    <t>Amortizáció</t>
  </si>
  <si>
    <t>negyedéves, lineáris</t>
  </si>
  <si>
    <t>7 év</t>
  </si>
  <si>
    <t>4 év</t>
  </si>
  <si>
    <t>Kamatfizetés</t>
  </si>
  <si>
    <t>Tőketörlesztés</t>
  </si>
  <si>
    <t>70M</t>
  </si>
  <si>
    <t>LOAN_PERFORMING</t>
  </si>
  <si>
    <t>FLOAT</t>
  </si>
  <si>
    <t>C</t>
  </si>
  <si>
    <t>I</t>
  </si>
  <si>
    <t>1M_3M</t>
  </si>
  <si>
    <t>3M_6M</t>
  </si>
  <si>
    <t>6M_9M</t>
  </si>
  <si>
    <t>9M_12M</t>
  </si>
  <si>
    <t>12M_18M</t>
  </si>
  <si>
    <t>18M_2Y</t>
  </si>
  <si>
    <t>2Y_3Y</t>
  </si>
  <si>
    <t>3Y_4Y</t>
  </si>
  <si>
    <t>fordulónap épp most volt, BUBOR: 0,15%</t>
  </si>
  <si>
    <t>100M</t>
  </si>
  <si>
    <t>3 év</t>
  </si>
  <si>
    <t>NMD_RETAIL</t>
  </si>
  <si>
    <t>NONMATURING</t>
  </si>
  <si>
    <t>ON_1M</t>
  </si>
  <si>
    <t>Pay</t>
  </si>
  <si>
    <t>Rec</t>
  </si>
  <si>
    <t>6M EURIBOR</t>
  </si>
  <si>
    <t>6M BUBOR +20bp</t>
  </si>
  <si>
    <t>6M BUBOR</t>
  </si>
  <si>
    <t>Pay EUR</t>
  </si>
  <si>
    <t>Rec HUF</t>
  </si>
  <si>
    <t>PAY_IRS</t>
  </si>
  <si>
    <t>FIX</t>
  </si>
  <si>
    <t>REC_IRS</t>
  </si>
  <si>
    <t>Futamidő</t>
  </si>
  <si>
    <t>1. példa: Vállalati hitel</t>
  </si>
  <si>
    <t>Példajegyzék a 9R1 tábla kitöltéséhez</t>
  </si>
  <si>
    <t>CF (bucketenként)</t>
  </si>
  <si>
    <t>Hátralévő CF-ek lejárati sávba sorolása</t>
  </si>
  <si>
    <t>t (év)</t>
  </si>
  <si>
    <t>Spot EURHUF</t>
  </si>
  <si>
    <t>T (év)</t>
  </si>
  <si>
    <t>Névérték HUF</t>
  </si>
  <si>
    <t>Névérték EUR</t>
  </si>
  <si>
    <t>T (hó)</t>
  </si>
  <si>
    <t>10 év</t>
  </si>
  <si>
    <t>Vállalati hitel</t>
  </si>
  <si>
    <t>5Y_6Y</t>
  </si>
  <si>
    <t>Előtörlesztéssel modellezett</t>
  </si>
  <si>
    <t>Szerződés szerint</t>
  </si>
  <si>
    <t>Nyitó tőke</t>
  </si>
  <si>
    <t>Törlesztő</t>
  </si>
  <si>
    <t>Tőke</t>
  </si>
  <si>
    <t>Előtörlesztés</t>
  </si>
  <si>
    <t>Záró tőke</t>
  </si>
  <si>
    <t>Lejárati sávokba sorolás</t>
  </si>
  <si>
    <t>4Y_5Y</t>
  </si>
  <si>
    <t>Modellezett CF</t>
  </si>
  <si>
    <t>Szerződéses CF</t>
  </si>
  <si>
    <t>5 év</t>
  </si>
  <si>
    <t>H1K5</t>
  </si>
  <si>
    <t>100% PSA</t>
  </si>
  <si>
    <t>Lakossági jelzáloghitel</t>
  </si>
  <si>
    <t>Kamatperiódus</t>
  </si>
  <si>
    <t>Előtörlesztés modellezése (CPR)</t>
  </si>
  <si>
    <t>Kamatváltozási mutató</t>
  </si>
  <si>
    <t>Hátralévő CF lefutás</t>
  </si>
  <si>
    <t>Fennálló tőke (induló)</t>
  </si>
  <si>
    <t>t (hó)</t>
  </si>
  <si>
    <t>Pénzáramlások</t>
  </si>
  <si>
    <t>Fix 10</t>
  </si>
  <si>
    <t>6Y_7Y</t>
  </si>
  <si>
    <t>7Y_8Y</t>
  </si>
  <si>
    <t>8Y_9Y</t>
  </si>
  <si>
    <t>9Y_10Y</t>
  </si>
  <si>
    <t>4. példa: Modellezett látra szóló betét (lakossági)</t>
  </si>
  <si>
    <t>2. példa: Lakossági jelzáloghitel, 5 éves kamatperiódus</t>
  </si>
  <si>
    <t>3. példa: Lakossági fix jelzáloghitel, előtörlesztési modellezéssel</t>
  </si>
  <si>
    <t>Pay fix</t>
  </si>
  <si>
    <t>Rec float</t>
  </si>
  <si>
    <t>Kamatcsereügylet</t>
  </si>
  <si>
    <t>CCIRS</t>
  </si>
  <si>
    <t>CCIRS CF (tőke nélkül)</t>
  </si>
  <si>
    <t>5. példa: Kamatcsereügylet</t>
  </si>
  <si>
    <t>6. példa: CCIRS</t>
  </si>
  <si>
    <t>0.: 9R1 tábla felépítése</t>
  </si>
  <si>
    <t>CPR (conditional prepayment rate)</t>
  </si>
  <si>
    <t>SMM (single monthly mortality)</t>
  </si>
  <si>
    <t>Átárazódási periódus (eredeti)</t>
  </si>
  <si>
    <t>Átlagos ügyleti kamat (%)</t>
  </si>
  <si>
    <t>i</t>
  </si>
  <si>
    <t>j</t>
  </si>
  <si>
    <t>…</t>
  </si>
  <si>
    <t>… %</t>
  </si>
  <si>
    <t>,,, %</t>
  </si>
  <si>
    <t>…%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</si>
</sst>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\ &quot;Ft&quot;;[Red]\-#,##0.00\ &quot;Ft&quot;"/>
    <numFmt numFmtId="165" formatCode="##000"/>
    <numFmt numFmtId="166" formatCode="_-* #,##0_-;\-* #,##0_-;_-* &quot;-&quot;??_-;_-@_-"/>
    <numFmt numFmtId="167" formatCode="0.0%"/>
    <numFmt numFmtId="168" formatCode="_-* #,##0.00\ _F_t_-;\-* #,##0.00\ _F_t_-;_-* &quot;-&quot;??\ _F_t_-;_-@_-"/>
    <numFmt numFmtId="169" formatCode="0.000%"/>
    <numFmt numFmtId="170" formatCode="0.0000%"/>
    <numFmt numFmtId="171" formatCode="0.00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u/>
      <sz val="14"/>
      <color theme="10"/>
      <name val="Arial"/>
      <family val="2"/>
      <charset val="238"/>
    </font>
    <font>
      <b/>
      <sz val="16"/>
      <color rgb="FF000000"/>
      <name val="Times New Roman CE"/>
    </font>
    <font>
      <b/>
      <i/>
      <sz val="12"/>
      <color rgb="FF000000"/>
      <name val="Times New Roman CE"/>
    </font>
    <font>
      <b/>
      <i/>
      <sz val="10"/>
      <color rgb="FF000000"/>
      <name val="Times New Roman CE"/>
    </font>
  </fonts>
  <fills count="18">
    <fill>
      <patternFill patternType="none"/>
    </fill>
    <fill>
      <patternFill patternType="gray125"/>
    </fill>
    <fill>
      <patternFill patternType="solid">
        <fgColor rgb="FFF4A460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9967A"/>
        <bgColor indexed="64"/>
      </patternFill>
    </fill>
    <fill>
      <patternFill patternType="solid">
        <fgColor rgb="FFFA8072"/>
        <bgColor indexed="64"/>
      </patternFill>
    </fill>
    <fill>
      <patternFill patternType="solid">
        <fgColor rgb="FFB222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left" vertical="center" wrapText="1"/>
    </xf>
    <xf numFmtId="0" fontId="6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8" fillId="0" borderId="0" xfId="3">
      <alignment horizontal="left" vertical="center" wrapText="1"/>
    </xf>
    <xf numFmtId="49" fontId="8" fillId="0" borderId="36" xfId="3" applyNumberFormat="1" applyBorder="1">
      <alignment horizontal="left" vertical="center" wrapText="1"/>
    </xf>
    <xf numFmtId="0" fontId="8" fillId="2" borderId="37" xfId="3" applyFill="1" applyBorder="1">
      <alignment horizontal="left" vertical="center" wrapText="1"/>
    </xf>
    <xf numFmtId="49" fontId="8" fillId="0" borderId="38" xfId="3" applyNumberFormat="1" applyBorder="1">
      <alignment horizontal="left" vertical="center" wrapText="1"/>
    </xf>
    <xf numFmtId="0" fontId="8" fillId="3" borderId="39" xfId="3" applyFill="1" applyBorder="1">
      <alignment horizontal="left" vertical="center" wrapText="1"/>
    </xf>
    <xf numFmtId="0" fontId="8" fillId="4" borderId="39" xfId="3" applyFill="1" applyBorder="1">
      <alignment horizontal="left" vertical="center" wrapText="1"/>
    </xf>
    <xf numFmtId="0" fontId="8" fillId="5" borderId="39" xfId="3" applyFill="1" applyBorder="1">
      <alignment horizontal="left" vertical="center" wrapText="1"/>
    </xf>
    <xf numFmtId="0" fontId="8" fillId="6" borderId="39" xfId="3" applyFill="1" applyBorder="1">
      <alignment horizontal="left" vertical="center" wrapText="1"/>
    </xf>
    <xf numFmtId="0" fontId="8" fillId="7" borderId="39" xfId="3" applyFill="1" applyBorder="1">
      <alignment horizontal="left" vertical="center" wrapText="1"/>
    </xf>
    <xf numFmtId="0" fontId="8" fillId="8" borderId="39" xfId="3" applyFill="1" applyBorder="1">
      <alignment horizontal="left" vertical="center" wrapText="1"/>
    </xf>
    <xf numFmtId="0" fontId="8" fillId="9" borderId="39" xfId="3" applyFill="1" applyBorder="1">
      <alignment horizontal="left" vertical="center" wrapText="1"/>
    </xf>
    <xf numFmtId="0" fontId="8" fillId="10" borderId="39" xfId="3" applyFill="1" applyBorder="1">
      <alignment horizontal="left" vertical="center" wrapText="1"/>
    </xf>
    <xf numFmtId="0" fontId="8" fillId="11" borderId="39" xfId="3" applyFill="1" applyBorder="1">
      <alignment horizontal="left" vertical="center" wrapText="1"/>
    </xf>
    <xf numFmtId="0" fontId="8" fillId="7" borderId="36" xfId="3" applyFill="1" applyBorder="1">
      <alignment horizontal="left" vertical="center" wrapText="1"/>
    </xf>
    <xf numFmtId="49" fontId="8" fillId="0" borderId="40" xfId="3" applyNumberFormat="1" applyBorder="1">
      <alignment horizontal="left" vertical="center" wrapText="1"/>
    </xf>
    <xf numFmtId="165" fontId="9" fillId="0" borderId="37" xfId="3" applyNumberFormat="1" applyFont="1" applyBorder="1" applyAlignment="1">
      <alignment horizontal="center" vertical="center" wrapText="1"/>
    </xf>
    <xf numFmtId="0" fontId="8" fillId="7" borderId="38" xfId="3" applyFill="1" applyBorder="1">
      <alignment horizontal="left" vertical="center" wrapText="1"/>
    </xf>
    <xf numFmtId="49" fontId="8" fillId="0" borderId="41" xfId="3" applyNumberFormat="1" applyBorder="1">
      <alignment horizontal="left" vertical="center" wrapText="1"/>
    </xf>
    <xf numFmtId="165" fontId="9" fillId="0" borderId="39" xfId="3" applyNumberFormat="1" applyFont="1" applyBorder="1" applyAlignment="1">
      <alignment horizontal="center" vertical="center" wrapText="1"/>
    </xf>
    <xf numFmtId="0" fontId="8" fillId="4" borderId="41" xfId="3" applyFill="1" applyBorder="1">
      <alignment horizontal="left" vertical="center" wrapText="1"/>
    </xf>
    <xf numFmtId="0" fontId="8" fillId="7" borderId="42" xfId="3" applyFill="1" applyBorder="1">
      <alignment horizontal="left" vertical="center" wrapText="1"/>
    </xf>
    <xf numFmtId="49" fontId="8" fillId="0" borderId="42" xfId="3" applyNumberFormat="1" applyBorder="1">
      <alignment horizontal="left" vertical="center" wrapText="1"/>
    </xf>
    <xf numFmtId="49" fontId="8" fillId="0" borderId="43" xfId="3" applyNumberFormat="1" applyBorder="1">
      <alignment horizontal="left" vertical="center" wrapText="1"/>
    </xf>
    <xf numFmtId="165" fontId="9" fillId="0" borderId="44" xfId="3" applyNumberFormat="1" applyFont="1" applyBorder="1" applyAlignment="1">
      <alignment horizontal="center" vertical="center" wrapText="1"/>
    </xf>
    <xf numFmtId="49" fontId="10" fillId="0" borderId="45" xfId="3" applyNumberFormat="1" applyFont="1" applyBorder="1" applyAlignment="1">
      <alignment horizontal="center" vertical="center" wrapText="1"/>
    </xf>
    <xf numFmtId="0" fontId="8" fillId="4" borderId="40" xfId="3" applyFill="1" applyBorder="1">
      <alignment horizontal="left" vertical="center" wrapText="1"/>
    </xf>
    <xf numFmtId="0" fontId="8" fillId="7" borderId="40" xfId="3" applyFill="1" applyBorder="1">
      <alignment horizontal="left" vertical="center" wrapText="1"/>
    </xf>
    <xf numFmtId="0" fontId="8" fillId="7" borderId="37" xfId="3" applyFill="1" applyBorder="1">
      <alignment horizontal="left" vertical="center" wrapText="1"/>
    </xf>
    <xf numFmtId="0" fontId="8" fillId="7" borderId="41" xfId="3" applyFill="1" applyBorder="1">
      <alignment horizontal="left" vertical="center" wrapText="1"/>
    </xf>
    <xf numFmtId="0" fontId="8" fillId="4" borderId="43" xfId="3" applyFill="1" applyBorder="1">
      <alignment horizontal="left" vertical="center" wrapText="1"/>
    </xf>
    <xf numFmtId="0" fontId="8" fillId="7" borderId="43" xfId="3" applyFill="1" applyBorder="1">
      <alignment horizontal="left" vertical="center" wrapText="1"/>
    </xf>
    <xf numFmtId="0" fontId="8" fillId="7" borderId="44" xfId="3" applyFill="1" applyBorder="1">
      <alignment horizontal="left" vertical="center" wrapText="1"/>
    </xf>
    <xf numFmtId="43" fontId="0" fillId="0" borderId="0" xfId="1" applyFont="1"/>
    <xf numFmtId="0" fontId="10" fillId="7" borderId="43" xfId="3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 vertical="center" wrapText="1"/>
    </xf>
    <xf numFmtId="0" fontId="2" fillId="7" borderId="39" xfId="3" applyFont="1" applyFill="1" applyBorder="1" applyAlignment="1">
      <alignment horizontal="center" vertical="center" wrapText="1"/>
    </xf>
    <xf numFmtId="0" fontId="10" fillId="7" borderId="46" xfId="3" applyFont="1" applyFill="1" applyBorder="1" applyAlignment="1">
      <alignment horizontal="center" vertical="center" wrapText="1"/>
    </xf>
    <xf numFmtId="0" fontId="10" fillId="7" borderId="47" xfId="3" applyFont="1" applyFill="1" applyBorder="1" applyAlignment="1">
      <alignment horizontal="center" vertical="center" wrapText="1"/>
    </xf>
    <xf numFmtId="0" fontId="10" fillId="7" borderId="41" xfId="3" applyFont="1" applyFill="1" applyBorder="1" applyAlignment="1">
      <alignment horizontal="center" vertical="center" wrapText="1"/>
    </xf>
    <xf numFmtId="0" fontId="10" fillId="7" borderId="48" xfId="3" applyFont="1" applyFill="1" applyBorder="1" applyAlignment="1">
      <alignment horizontal="center" vertical="center" wrapText="1"/>
    </xf>
    <xf numFmtId="0" fontId="10" fillId="7" borderId="49" xfId="3" applyFont="1" applyFill="1" applyBorder="1" applyAlignment="1">
      <alignment horizontal="center" vertical="center" wrapText="1"/>
    </xf>
    <xf numFmtId="0" fontId="8" fillId="7" borderId="50" xfId="3" applyFill="1" applyBorder="1">
      <alignment horizontal="left" vertical="center" wrapText="1"/>
    </xf>
    <xf numFmtId="166" fontId="8" fillId="4" borderId="43" xfId="1" applyNumberFormat="1" applyFont="1" applyFill="1" applyBorder="1" applyAlignment="1">
      <alignment horizontal="left" vertical="center" wrapText="1"/>
    </xf>
    <xf numFmtId="166" fontId="8" fillId="4" borderId="41" xfId="1" applyNumberFormat="1" applyFont="1" applyFill="1" applyBorder="1" applyAlignment="1">
      <alignment horizontal="left" vertical="center" wrapText="1"/>
    </xf>
    <xf numFmtId="166" fontId="8" fillId="4" borderId="49" xfId="1" applyNumberFormat="1" applyFont="1" applyFill="1" applyBorder="1" applyAlignment="1">
      <alignment horizontal="left" vertical="center" wrapText="1"/>
    </xf>
    <xf numFmtId="166" fontId="8" fillId="4" borderId="40" xfId="1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/>
    <xf numFmtId="0" fontId="10" fillId="7" borderId="51" xfId="3" applyFont="1" applyFill="1" applyBorder="1" applyAlignment="1">
      <alignment horizontal="center" vertical="center" wrapText="1"/>
    </xf>
    <xf numFmtId="0" fontId="2" fillId="7" borderId="52" xfId="3" applyFont="1" applyFill="1" applyBorder="1" applyAlignment="1">
      <alignment horizontal="center" vertical="center" wrapText="1"/>
    </xf>
    <xf numFmtId="0" fontId="10" fillId="7" borderId="53" xfId="3" applyFont="1" applyFill="1" applyBorder="1" applyAlignment="1">
      <alignment horizontal="center" vertical="center" wrapText="1"/>
    </xf>
    <xf numFmtId="166" fontId="8" fillId="4" borderId="48" xfId="1" applyNumberFormat="1" applyFont="1" applyFill="1" applyBorder="1" applyAlignment="1">
      <alignment horizontal="left" vertical="center" wrapText="1"/>
    </xf>
    <xf numFmtId="0" fontId="8" fillId="7" borderId="54" xfId="3" applyFill="1" applyBorder="1">
      <alignment horizontal="left" vertical="center" wrapText="1"/>
    </xf>
    <xf numFmtId="166" fontId="8" fillId="4" borderId="51" xfId="1" applyNumberFormat="1" applyFont="1" applyFill="1" applyBorder="1" applyAlignment="1">
      <alignment horizontal="left" vertical="center" wrapText="1"/>
    </xf>
    <xf numFmtId="0" fontId="8" fillId="7" borderId="55" xfId="3" applyFill="1" applyBorder="1">
      <alignment horizontal="left" vertical="center" wrapText="1"/>
    </xf>
    <xf numFmtId="0" fontId="0" fillId="0" borderId="0" xfId="0" applyAlignment="1">
      <alignment horizontal="center"/>
    </xf>
    <xf numFmtId="49" fontId="10" fillId="0" borderId="45" xfId="3" applyNumberFormat="1" applyFont="1" applyBorder="1" applyAlignment="1">
      <alignment horizontal="center" vertical="center"/>
    </xf>
    <xf numFmtId="0" fontId="8" fillId="7" borderId="42" xfId="3" applyFont="1" applyFill="1" applyBorder="1">
      <alignment horizontal="left" vertical="center" wrapText="1"/>
    </xf>
    <xf numFmtId="0" fontId="8" fillId="7" borderId="38" xfId="3" applyFont="1" applyFill="1" applyBorder="1">
      <alignment horizontal="left" vertical="center" wrapText="1"/>
    </xf>
    <xf numFmtId="0" fontId="8" fillId="7" borderId="50" xfId="3" applyFont="1" applyFill="1" applyBorder="1">
      <alignment horizontal="left" vertical="center" wrapText="1"/>
    </xf>
    <xf numFmtId="0" fontId="2" fillId="0" borderId="0" xfId="0" applyFont="1"/>
    <xf numFmtId="0" fontId="11" fillId="0" borderId="0" xfId="0" applyFont="1" applyAlignment="1">
      <alignment vertical="center" wrapText="1"/>
    </xf>
    <xf numFmtId="0" fontId="2" fillId="7" borderId="56" xfId="3" applyFont="1" applyFill="1" applyBorder="1" applyAlignment="1">
      <alignment horizontal="center" vertical="center" wrapText="1"/>
    </xf>
    <xf numFmtId="0" fontId="2" fillId="7" borderId="57" xfId="3" applyFont="1" applyFill="1" applyBorder="1" applyAlignment="1">
      <alignment horizontal="center" vertical="center" wrapText="1"/>
    </xf>
    <xf numFmtId="166" fontId="3" fillId="4" borderId="57" xfId="1" applyNumberFormat="1" applyFont="1" applyFill="1" applyBorder="1" applyAlignment="1">
      <alignment horizontal="left" vertical="center" wrapText="1"/>
    </xf>
    <xf numFmtId="0" fontId="3" fillId="7" borderId="58" xfId="3" applyFont="1" applyFill="1" applyBorder="1">
      <alignment horizontal="left" vertical="center" wrapText="1"/>
    </xf>
    <xf numFmtId="0" fontId="3" fillId="0" borderId="1" xfId="0" applyFont="1" applyBorder="1" applyAlignment="1">
      <alignment horizontal="center"/>
    </xf>
    <xf numFmtId="166" fontId="3" fillId="0" borderId="2" xfId="1" applyNumberFormat="1" applyFont="1" applyBorder="1"/>
    <xf numFmtId="0" fontId="3" fillId="0" borderId="1" xfId="0" applyFont="1" applyBorder="1"/>
    <xf numFmtId="166" fontId="3" fillId="0" borderId="1" xfId="1" applyNumberFormat="1" applyFont="1" applyBorder="1"/>
    <xf numFmtId="0" fontId="3" fillId="12" borderId="1" xfId="0" applyFont="1" applyFill="1" applyBorder="1"/>
    <xf numFmtId="166" fontId="3" fillId="12" borderId="1" xfId="1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right"/>
    </xf>
    <xf numFmtId="49" fontId="8" fillId="0" borderId="1" xfId="3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43" fontId="0" fillId="0" borderId="6" xfId="1" applyFont="1" applyFill="1" applyBorder="1"/>
    <xf numFmtId="43" fontId="0" fillId="0" borderId="7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43" fontId="3" fillId="0" borderId="0" xfId="1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166" fontId="8" fillId="4" borderId="53" xfId="1" applyNumberFormat="1" applyFont="1" applyFill="1" applyBorder="1" applyAlignment="1">
      <alignment horizontal="left" vertical="center" wrapText="1"/>
    </xf>
    <xf numFmtId="0" fontId="8" fillId="7" borderId="59" xfId="3" applyFill="1" applyBorder="1">
      <alignment horizontal="left" vertical="center" wrapText="1"/>
    </xf>
    <xf numFmtId="0" fontId="2" fillId="7" borderId="37" xfId="3" applyFont="1" applyFill="1" applyBorder="1" applyAlignment="1">
      <alignment horizontal="center" vertical="center" wrapText="1"/>
    </xf>
    <xf numFmtId="0" fontId="10" fillId="7" borderId="40" xfId="3" applyFont="1" applyFill="1" applyBorder="1" applyAlignment="1">
      <alignment horizontal="center" vertical="center" wrapText="1"/>
    </xf>
    <xf numFmtId="10" fontId="0" fillId="0" borderId="0" xfId="5" applyNumberFormat="1" applyFont="1"/>
    <xf numFmtId="43" fontId="0" fillId="0" borderId="0" xfId="0" applyNumberFormat="1"/>
    <xf numFmtId="164" fontId="0" fillId="0" borderId="0" xfId="0" applyNumberFormat="1"/>
    <xf numFmtId="168" fontId="0" fillId="0" borderId="1" xfId="0" applyNumberFormat="1" applyBorder="1"/>
    <xf numFmtId="43" fontId="0" fillId="0" borderId="6" xfId="1" applyFont="1" applyBorder="1"/>
    <xf numFmtId="43" fontId="0" fillId="0" borderId="7" xfId="1" applyFont="1" applyBorder="1"/>
    <xf numFmtId="168" fontId="0" fillId="0" borderId="6" xfId="0" applyNumberFormat="1" applyBorder="1"/>
    <xf numFmtId="171" fontId="0" fillId="0" borderId="0" xfId="0" applyNumberFormat="1"/>
    <xf numFmtId="0" fontId="0" fillId="0" borderId="6" xfId="0" applyBorder="1"/>
    <xf numFmtId="0" fontId="0" fillId="12" borderId="6" xfId="0" applyFill="1" applyBorder="1"/>
    <xf numFmtId="168" fontId="3" fillId="0" borderId="0" xfId="0" applyNumberFormat="1" applyFont="1"/>
    <xf numFmtId="43" fontId="1" fillId="15" borderId="7" xfId="1" applyFont="1" applyFill="1" applyBorder="1"/>
    <xf numFmtId="43" fontId="1" fillId="15" borderId="4" xfId="1" applyFont="1" applyFill="1" applyBorder="1"/>
    <xf numFmtId="9" fontId="3" fillId="0" borderId="0" xfId="0" applyNumberFormat="1" applyFont="1"/>
    <xf numFmtId="167" fontId="0" fillId="0" borderId="1" xfId="0" applyNumberFormat="1" applyBorder="1" applyAlignment="1">
      <alignment horizontal="center"/>
    </xf>
    <xf numFmtId="169" fontId="0" fillId="0" borderId="0" xfId="5" applyNumberFormat="1" applyFont="1" applyAlignment="1">
      <alignment horizontal="left"/>
    </xf>
    <xf numFmtId="0" fontId="4" fillId="13" borderId="1" xfId="0" applyFont="1" applyFill="1" applyBorder="1" applyAlignment="1">
      <alignment horizontal="right" wrapText="1"/>
    </xf>
    <xf numFmtId="10" fontId="0" fillId="0" borderId="1" xfId="1" applyNumberFormat="1" applyFont="1" applyBorder="1" applyAlignment="1">
      <alignment horizontal="center"/>
    </xf>
    <xf numFmtId="170" fontId="0" fillId="0" borderId="1" xfId="5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1" fillId="12" borderId="1" xfId="1" applyFont="1" applyFill="1" applyBorder="1" applyAlignment="1">
      <alignment horizontal="center"/>
    </xf>
    <xf numFmtId="168" fontId="0" fillId="12" borderId="1" xfId="0" applyNumberFormat="1" applyFill="1" applyBorder="1" applyAlignment="1">
      <alignment horizontal="center"/>
    </xf>
    <xf numFmtId="168" fontId="0" fillId="12" borderId="6" xfId="0" applyNumberFormat="1" applyFill="1" applyBorder="1" applyAlignment="1">
      <alignment horizontal="center"/>
    </xf>
    <xf numFmtId="43" fontId="1" fillId="12" borderId="7" xfId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171" fontId="0" fillId="16" borderId="9" xfId="0" applyNumberFormat="1" applyFill="1" applyBorder="1" applyAlignment="1">
      <alignment vertical="center"/>
    </xf>
    <xf numFmtId="43" fontId="0" fillId="16" borderId="10" xfId="0" applyNumberFormat="1" applyFill="1" applyBorder="1" applyAlignment="1">
      <alignment vertical="center"/>
    </xf>
    <xf numFmtId="168" fontId="0" fillId="16" borderId="10" xfId="0" applyNumberFormat="1" applyFill="1" applyBorder="1" applyAlignment="1">
      <alignment vertical="center"/>
    </xf>
    <xf numFmtId="43" fontId="0" fillId="16" borderId="11" xfId="0" applyNumberFormat="1" applyFill="1" applyBorder="1" applyAlignment="1">
      <alignment vertical="center"/>
    </xf>
    <xf numFmtId="171" fontId="0" fillId="16" borderId="12" xfId="0" applyNumberFormat="1" applyFill="1" applyBorder="1" applyAlignment="1">
      <alignment vertical="center"/>
    </xf>
    <xf numFmtId="171" fontId="0" fillId="16" borderId="13" xfId="0" applyNumberFormat="1" applyFill="1" applyBorder="1" applyAlignment="1">
      <alignment vertical="center"/>
    </xf>
    <xf numFmtId="171" fontId="0" fillId="16" borderId="14" xfId="0" applyNumberFormat="1" applyFill="1" applyBorder="1" applyAlignment="1">
      <alignment vertical="center"/>
    </xf>
    <xf numFmtId="171" fontId="0" fillId="16" borderId="12" xfId="0" applyNumberFormat="1" applyFill="1" applyBorder="1"/>
    <xf numFmtId="171" fontId="0" fillId="16" borderId="14" xfId="0" applyNumberFormat="1" applyFill="1" applyBorder="1"/>
    <xf numFmtId="171" fontId="0" fillId="16" borderId="13" xfId="0" applyNumberFormat="1" applyFill="1" applyBorder="1"/>
    <xf numFmtId="0" fontId="0" fillId="0" borderId="0" xfId="0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0" fillId="0" borderId="6" xfId="0" applyFill="1" applyBorder="1"/>
    <xf numFmtId="43" fontId="0" fillId="0" borderId="1" xfId="1" applyFon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70" fontId="0" fillId="0" borderId="1" xfId="5" applyNumberFormat="1" applyFont="1" applyFill="1" applyBorder="1" applyAlignment="1">
      <alignment horizontal="center"/>
    </xf>
    <xf numFmtId="168" fontId="0" fillId="0" borderId="7" xfId="0" applyNumberFormat="1" applyFill="1" applyBorder="1" applyAlignment="1">
      <alignment horizontal="center"/>
    </xf>
    <xf numFmtId="0" fontId="0" fillId="0" borderId="3" xfId="0" applyFill="1" applyBorder="1"/>
    <xf numFmtId="43" fontId="0" fillId="0" borderId="5" xfId="1" applyFont="1" applyFill="1" applyBorder="1" applyAlignment="1">
      <alignment horizontal="center"/>
    </xf>
    <xf numFmtId="168" fontId="0" fillId="0" borderId="5" xfId="0" applyNumberForma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170" fontId="0" fillId="0" borderId="5" xfId="5" applyNumberFormat="1" applyFont="1" applyFill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166" fontId="3" fillId="0" borderId="15" xfId="0" applyNumberFormat="1" applyFont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/>
    </xf>
    <xf numFmtId="166" fontId="3" fillId="12" borderId="2" xfId="1" applyNumberFormat="1" applyFont="1" applyFill="1" applyBorder="1"/>
    <xf numFmtId="166" fontId="3" fillId="17" borderId="2" xfId="1" applyNumberFormat="1" applyFont="1" applyFill="1" applyBorder="1"/>
    <xf numFmtId="166" fontId="3" fillId="17" borderId="1" xfId="1" applyNumberFormat="1" applyFont="1" applyFill="1" applyBorder="1"/>
    <xf numFmtId="43" fontId="3" fillId="16" borderId="13" xfId="1" applyFont="1" applyFill="1" applyBorder="1" applyAlignment="1">
      <alignment horizontal="center"/>
    </xf>
    <xf numFmtId="0" fontId="8" fillId="7" borderId="59" xfId="3" applyFont="1" applyFill="1" applyBorder="1">
      <alignment horizontal="left" vertical="center" wrapText="1"/>
    </xf>
    <xf numFmtId="43" fontId="3" fillId="16" borderId="12" xfId="1" applyFont="1" applyFill="1" applyBorder="1" applyAlignment="1">
      <alignment horizontal="center"/>
    </xf>
    <xf numFmtId="43" fontId="3" fillId="16" borderId="14" xfId="1" applyFont="1" applyFill="1" applyBorder="1" applyAlignment="1">
      <alignment horizontal="center"/>
    </xf>
    <xf numFmtId="168" fontId="12" fillId="0" borderId="6" xfId="0" applyNumberFormat="1" applyFont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3" fontId="12" fillId="0" borderId="7" xfId="1" applyFont="1" applyBorder="1" applyAlignment="1">
      <alignment horizontal="center"/>
    </xf>
    <xf numFmtId="168" fontId="12" fillId="0" borderId="3" xfId="0" applyNumberFormat="1" applyFont="1" applyBorder="1" applyAlignment="1">
      <alignment horizontal="center"/>
    </xf>
    <xf numFmtId="168" fontId="12" fillId="0" borderId="5" xfId="0" applyNumberFormat="1" applyFont="1" applyBorder="1" applyAlignment="1">
      <alignment horizontal="center"/>
    </xf>
    <xf numFmtId="43" fontId="12" fillId="0" borderId="5" xfId="1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168" fontId="0" fillId="0" borderId="6" xfId="0" applyNumberForma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171" fontId="0" fillId="0" borderId="13" xfId="0" applyNumberFormat="1" applyFill="1" applyBorder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0" fillId="0" borderId="18" xfId="1" applyFont="1" applyFill="1" applyBorder="1"/>
    <xf numFmtId="43" fontId="0" fillId="0" borderId="19" xfId="1" applyFont="1" applyFill="1" applyBorder="1"/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166" fontId="13" fillId="4" borderId="41" xfId="1" applyNumberFormat="1" applyFont="1" applyFill="1" applyBorder="1" applyAlignment="1">
      <alignment horizontal="left" vertical="center" wrapText="1"/>
    </xf>
    <xf numFmtId="166" fontId="13" fillId="4" borderId="49" xfId="1" applyNumberFormat="1" applyFont="1" applyFill="1" applyBorder="1" applyAlignment="1">
      <alignment horizontal="left" vertical="center" wrapText="1"/>
    </xf>
    <xf numFmtId="166" fontId="13" fillId="4" borderId="57" xfId="1" applyNumberFormat="1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10" fontId="3" fillId="16" borderId="1" xfId="5" applyNumberFormat="1" applyFont="1" applyFill="1" applyBorder="1" applyAlignment="1">
      <alignment horizontal="center"/>
    </xf>
    <xf numFmtId="0" fontId="8" fillId="7" borderId="66" xfId="3" applyFill="1" applyBorder="1">
      <alignment horizontal="left" vertical="center" wrapText="1"/>
    </xf>
    <xf numFmtId="0" fontId="8" fillId="7" borderId="67" xfId="3" applyFill="1" applyBorder="1">
      <alignment horizontal="left" vertical="center" wrapText="1"/>
    </xf>
    <xf numFmtId="0" fontId="8" fillId="7" borderId="68" xfId="3" applyFill="1" applyBorder="1">
      <alignment horizontal="left" vertical="center" wrapText="1"/>
    </xf>
    <xf numFmtId="0" fontId="8" fillId="10" borderId="43" xfId="3" applyFill="1" applyBorder="1">
      <alignment horizontal="left" vertical="center" wrapText="1"/>
    </xf>
    <xf numFmtId="0" fontId="8" fillId="10" borderId="41" xfId="3" applyFill="1" applyBorder="1">
      <alignment horizontal="left" vertical="center" wrapText="1"/>
    </xf>
    <xf numFmtId="43" fontId="12" fillId="0" borderId="0" xfId="1" applyFont="1" applyBorder="1" applyAlignment="1">
      <alignment horizontal="center"/>
    </xf>
    <xf numFmtId="0" fontId="2" fillId="13" borderId="28" xfId="0" applyFont="1" applyFill="1" applyBorder="1" applyAlignment="1"/>
    <xf numFmtId="0" fontId="2" fillId="13" borderId="29" xfId="0" applyFont="1" applyFill="1" applyBorder="1" applyAlignment="1"/>
    <xf numFmtId="0" fontId="8" fillId="10" borderId="41" xfId="3" applyFill="1" applyBorder="1" applyAlignment="1">
      <alignment horizontal="center" vertical="center" wrapText="1"/>
    </xf>
    <xf numFmtId="0" fontId="10" fillId="7" borderId="66" xfId="3" applyFont="1" applyFill="1" applyBorder="1" applyAlignment="1">
      <alignment horizontal="center" vertical="center" wrapText="1"/>
    </xf>
    <xf numFmtId="0" fontId="10" fillId="10" borderId="43" xfId="3" applyFont="1" applyFill="1" applyBorder="1" applyAlignment="1">
      <alignment horizontal="center" vertical="center" wrapText="1"/>
    </xf>
    <xf numFmtId="0" fontId="10" fillId="7" borderId="67" xfId="3" applyFont="1" applyFill="1" applyBorder="1" applyAlignment="1">
      <alignment horizontal="center" vertical="center" wrapText="1"/>
    </xf>
    <xf numFmtId="0" fontId="10" fillId="10" borderId="41" xfId="3" applyFont="1" applyFill="1" applyBorder="1" applyAlignment="1">
      <alignment horizontal="center" vertical="center" wrapText="1"/>
    </xf>
    <xf numFmtId="0" fontId="10" fillId="7" borderId="69" xfId="3" applyFont="1" applyFill="1" applyBorder="1" applyAlignment="1">
      <alignment horizontal="center" vertical="center" wrapText="1"/>
    </xf>
    <xf numFmtId="0" fontId="10" fillId="10" borderId="57" xfId="3" applyFont="1" applyFill="1" applyBorder="1" applyAlignment="1">
      <alignment horizontal="center" vertical="center" wrapText="1"/>
    </xf>
    <xf numFmtId="49" fontId="10" fillId="12" borderId="45" xfId="3" applyNumberFormat="1" applyFont="1" applyFill="1" applyBorder="1" applyAlignment="1">
      <alignment horizontal="center" vertical="center" wrapText="1"/>
    </xf>
    <xf numFmtId="0" fontId="8" fillId="10" borderId="40" xfId="3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49" fontId="10" fillId="0" borderId="60" xfId="3" applyNumberFormat="1" applyFont="1" applyBorder="1" applyAlignment="1">
      <alignment horizontal="center" vertical="center" wrapText="1"/>
    </xf>
    <xf numFmtId="49" fontId="10" fillId="0" borderId="61" xfId="3" applyNumberFormat="1" applyFont="1" applyBorder="1" applyAlignment="1">
      <alignment horizontal="center" vertical="center" wrapText="1"/>
    </xf>
    <xf numFmtId="49" fontId="15" fillId="0" borderId="0" xfId="3" applyNumberFormat="1" applyFont="1" applyAlignment="1">
      <alignment horizontal="center" vertical="top"/>
    </xf>
    <xf numFmtId="49" fontId="16" fillId="0" borderId="0" xfId="3" applyNumberFormat="1" applyFont="1" applyAlignment="1">
      <alignment horizontal="center" vertical="top"/>
    </xf>
    <xf numFmtId="49" fontId="17" fillId="0" borderId="62" xfId="3" applyNumberFormat="1" applyFont="1" applyBorder="1" applyAlignment="1">
      <alignment horizontal="right" vertical="top"/>
    </xf>
    <xf numFmtId="49" fontId="10" fillId="0" borderId="63" xfId="3" applyNumberFormat="1" applyFont="1" applyBorder="1" applyAlignment="1">
      <alignment horizontal="center" vertical="center"/>
    </xf>
    <xf numFmtId="49" fontId="10" fillId="0" borderId="64" xfId="3" applyNumberFormat="1" applyFont="1" applyBorder="1" applyAlignment="1">
      <alignment horizontal="center" vertical="center"/>
    </xf>
    <xf numFmtId="49" fontId="10" fillId="0" borderId="65" xfId="3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43" fontId="0" fillId="16" borderId="30" xfId="0" applyNumberFormat="1" applyFill="1" applyBorder="1" applyAlignment="1">
      <alignment horizontal="center" vertical="center"/>
    </xf>
    <xf numFmtId="43" fontId="0" fillId="16" borderId="0" xfId="0" applyNumberFormat="1" applyFill="1" applyBorder="1" applyAlignment="1">
      <alignment horizontal="center" vertical="center"/>
    </xf>
    <xf numFmtId="43" fontId="0" fillId="16" borderId="31" xfId="0" applyNumberFormat="1" applyFill="1" applyBorder="1" applyAlignment="1">
      <alignment horizontal="center" vertical="center"/>
    </xf>
    <xf numFmtId="43" fontId="0" fillId="16" borderId="26" xfId="0" applyNumberFormat="1" applyFill="1" applyBorder="1" applyAlignment="1">
      <alignment horizontal="center" vertical="center"/>
    </xf>
    <xf numFmtId="43" fontId="0" fillId="16" borderId="27" xfId="0" applyNumberFormat="1" applyFill="1" applyBorder="1" applyAlignment="1">
      <alignment horizontal="center" vertical="center"/>
    </xf>
    <xf numFmtId="43" fontId="0" fillId="16" borderId="15" xfId="0" applyNumberFormat="1" applyFill="1" applyBorder="1" applyAlignment="1">
      <alignment horizontal="center" vertical="center"/>
    </xf>
    <xf numFmtId="168" fontId="0" fillId="16" borderId="30" xfId="0" applyNumberFormat="1" applyFill="1" applyBorder="1" applyAlignment="1">
      <alignment horizontal="center" vertical="center"/>
    </xf>
    <xf numFmtId="168" fontId="0" fillId="16" borderId="0" xfId="0" applyNumberFormat="1" applyFill="1" applyBorder="1" applyAlignment="1">
      <alignment horizontal="center" vertical="center"/>
    </xf>
    <xf numFmtId="168" fontId="0" fillId="16" borderId="31" xfId="0" applyNumberFormat="1" applyFill="1" applyBorder="1" applyAlignment="1">
      <alignment horizontal="center" vertical="center"/>
    </xf>
    <xf numFmtId="168" fontId="0" fillId="16" borderId="26" xfId="0" applyNumberFormat="1" applyFill="1" applyBorder="1" applyAlignment="1">
      <alignment horizontal="center" vertical="center"/>
    </xf>
    <xf numFmtId="168" fontId="0" fillId="16" borderId="27" xfId="0" applyNumberFormat="1" applyFill="1" applyBorder="1" applyAlignment="1">
      <alignment horizontal="center" vertical="center"/>
    </xf>
    <xf numFmtId="168" fontId="0" fillId="16" borderId="15" xfId="0" applyNumberForma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 vertical="center"/>
    </xf>
  </cellXfs>
  <cellStyles count="6">
    <cellStyle name="Ezres" xfId="1" builtinId="3"/>
    <cellStyle name="Hivatkozás" xfId="2" builtinId="8"/>
    <cellStyle name="Normál" xfId="0" builtinId="0"/>
    <cellStyle name="Normál 2" xfId="3" xr:uid="{00000000-0005-0000-0000-000003000000}"/>
    <cellStyle name="Normál 3" xfId="4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8</xdr:col>
      <xdr:colOff>0</xdr:colOff>
      <xdr:row>0</xdr:row>
      <xdr:rowOff>1190625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C45C203D-8417-4130-9E03-3CB177B0B099}"/>
            </a:ext>
          </a:extLst>
        </xdr:cNvPr>
        <xdr:cNvSpPr txBox="1"/>
      </xdr:nvSpPr>
      <xdr:spPr>
        <a:xfrm>
          <a:off x="28575" y="28575"/>
          <a:ext cx="724852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1. példa: 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Vállalati hitel, negyedéves amortizáció, negyedéves kamatfixálás, fix kamatfelár</a:t>
          </a:r>
        </a:p>
        <a:p>
          <a:endParaRPr lang="hu-H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Az átárazódáskor a fennálló tőketartozás összegét kell jelenteni, ezt követően a kamatfizetéseknek a csak felár komponense jelentendő a szerződéses lejáratig.</a:t>
          </a: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490818</xdr:colOff>
      <xdr:row>20</xdr:row>
      <xdr:rowOff>145677</xdr:rowOff>
    </xdr:from>
    <xdr:to>
      <xdr:col>8</xdr:col>
      <xdr:colOff>262218</xdr:colOff>
      <xdr:row>24</xdr:row>
      <xdr:rowOff>112059</xdr:rowOff>
    </xdr:to>
    <xdr:sp macro="" textlink="">
      <xdr:nvSpPr>
        <xdr:cNvPr id="10" name="Felirat: íves vonal 9">
          <a:extLst>
            <a:ext uri="{FF2B5EF4-FFF2-40B4-BE49-F238E27FC236}">
              <a16:creationId xmlns:a16="http://schemas.microsoft.com/office/drawing/2014/main" id="{E0F55664-D2C9-4FCD-BC69-3E1680AE7391}"/>
            </a:ext>
          </a:extLst>
        </xdr:cNvPr>
        <xdr:cNvSpPr/>
      </xdr:nvSpPr>
      <xdr:spPr>
        <a:xfrm>
          <a:off x="5735171" y="5020236"/>
          <a:ext cx="5139018" cy="593911"/>
        </a:xfrm>
        <a:prstGeom prst="borderCallout2">
          <a:avLst>
            <a:gd name="adj1" fmla="val 56250"/>
            <a:gd name="adj2" fmla="val -5107"/>
            <a:gd name="adj3" fmla="val 56250"/>
            <a:gd name="adj4" fmla="val -25135"/>
            <a:gd name="adj5" fmla="val 317023"/>
            <a:gd name="adj6" fmla="val -524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jövőbeni kamatfizetéseknél (az első, ismert kivételével) már csak a kamatfelár komponens számolódik!</a:t>
          </a:r>
        </a:p>
      </xdr:txBody>
    </xdr:sp>
    <xdr:clientData/>
  </xdr:twoCellAnchor>
  <xdr:twoCellAnchor>
    <xdr:from>
      <xdr:col>9</xdr:col>
      <xdr:colOff>571500</xdr:colOff>
      <xdr:row>0</xdr:row>
      <xdr:rowOff>571501</xdr:rowOff>
    </xdr:from>
    <xdr:to>
      <xdr:col>10</xdr:col>
      <xdr:colOff>1060076</xdr:colOff>
      <xdr:row>0</xdr:row>
      <xdr:rowOff>1143001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CD065EC9-4770-41E7-9813-016347924C66}"/>
            </a:ext>
          </a:extLst>
        </xdr:cNvPr>
        <xdr:cNvSpPr/>
      </xdr:nvSpPr>
      <xdr:spPr>
        <a:xfrm>
          <a:off x="9995647" y="571501"/>
          <a:ext cx="2539253" cy="571500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318910"/>
            <a:gd name="adj6" fmla="val -3656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(37.5M) és a 3. hónapban történő tőketörlesztés (2.5M)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941294</xdr:colOff>
      <xdr:row>0</xdr:row>
      <xdr:rowOff>649940</xdr:rowOff>
    </xdr:from>
    <xdr:to>
      <xdr:col>8</xdr:col>
      <xdr:colOff>712693</xdr:colOff>
      <xdr:row>1</xdr:row>
      <xdr:rowOff>112058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91FBFB93-3448-4E30-9C41-6DBEF7184274}"/>
            </a:ext>
          </a:extLst>
        </xdr:cNvPr>
        <xdr:cNvSpPr/>
      </xdr:nvSpPr>
      <xdr:spPr>
        <a:xfrm>
          <a:off x="8785412" y="64994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09106"/>
            <a:gd name="adj6" fmla="val -3700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22413</xdr:rowOff>
    </xdr:from>
    <xdr:to>
      <xdr:col>11</xdr:col>
      <xdr:colOff>0</xdr:colOff>
      <xdr:row>0</xdr:row>
      <xdr:rowOff>974912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EA182C-E7FA-4899-AB6E-F5D5590D5DB5}"/>
            </a:ext>
          </a:extLst>
        </xdr:cNvPr>
        <xdr:cNvSpPr txBox="1"/>
      </xdr:nvSpPr>
      <xdr:spPr>
        <a:xfrm>
          <a:off x="22412" y="22413"/>
          <a:ext cx="10880912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2. példa: Lakossági jelzáloghitel, ötéves kamatperiódussal</a:t>
          </a:r>
          <a:endParaRPr lang="hu-HU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 referenciakamat és egy konstans szorzatához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kötött kamatozású termék feláraként a képletben szereplő felárat kell jelenteni (pl. ÁKK * 130% + 0% esetén 0%-ot).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Az átárazódáskor a fennálló tőketartozás összegét kell jelenteni, ezt követően a kamatfizetéseknek a csak felár komponense jelentendő a szerződéses lejáratig.</a:t>
          </a:r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414616</xdr:colOff>
      <xdr:row>28</xdr:row>
      <xdr:rowOff>78441</xdr:rowOff>
    </xdr:from>
    <xdr:to>
      <xdr:col>9</xdr:col>
      <xdr:colOff>593911</xdr:colOff>
      <xdr:row>32</xdr:row>
      <xdr:rowOff>22412</xdr:rowOff>
    </xdr:to>
    <xdr:sp macro="" textlink="">
      <xdr:nvSpPr>
        <xdr:cNvPr id="4" name="Callout: Bent Line 3">
          <a:extLst>
            <a:ext uri="{FF2B5EF4-FFF2-40B4-BE49-F238E27FC236}">
              <a16:creationId xmlns:a16="http://schemas.microsoft.com/office/drawing/2014/main" id="{DF8FC47B-CC4B-4D22-9F3F-D453B403EC7F}"/>
            </a:ext>
          </a:extLst>
        </xdr:cNvPr>
        <xdr:cNvSpPr/>
      </xdr:nvSpPr>
      <xdr:spPr>
        <a:xfrm>
          <a:off x="3193675" y="7126941"/>
          <a:ext cx="5468471" cy="571500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Ez azt jelenti, hogy a kamat változásának mértéke az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adott futamidejű ÁKK referencia-állampapír hozamváltozásának bizonyos százaléka. Mivel nincs konstans kamatfelár, ezért itt 0-nak tekinthető, így jelen esetben az 5. év után nem szükséges kamatfizetést számolni.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1187825</xdr:colOff>
      <xdr:row>17</xdr:row>
      <xdr:rowOff>89648</xdr:rowOff>
    </xdr:from>
    <xdr:to>
      <xdr:col>12</xdr:col>
      <xdr:colOff>425825</xdr:colOff>
      <xdr:row>20</xdr:row>
      <xdr:rowOff>33619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C5F60A38-3D97-42A9-B842-021EADDE3F38}"/>
            </a:ext>
          </a:extLst>
        </xdr:cNvPr>
        <xdr:cNvSpPr/>
      </xdr:nvSpPr>
      <xdr:spPr>
        <a:xfrm>
          <a:off x="9256060" y="4191001"/>
          <a:ext cx="3227294" cy="414618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20951"/>
            <a:gd name="adj6" fmla="val -368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és az adott lejárati sávba eső tőketörlesztések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907676</xdr:colOff>
      <xdr:row>0</xdr:row>
      <xdr:rowOff>717176</xdr:rowOff>
    </xdr:from>
    <xdr:to>
      <xdr:col>8</xdr:col>
      <xdr:colOff>1351428</xdr:colOff>
      <xdr:row>1</xdr:row>
      <xdr:rowOff>381000</xdr:rowOff>
    </xdr:to>
    <xdr:sp macro="" textlink="">
      <xdr:nvSpPr>
        <xdr:cNvPr id="6" name="Felirat: íves vonal 9">
          <a:extLst>
            <a:ext uri="{FF2B5EF4-FFF2-40B4-BE49-F238E27FC236}">
              <a16:creationId xmlns:a16="http://schemas.microsoft.com/office/drawing/2014/main" id="{B01AFDCB-D869-4BF2-A53C-156D1E051AD9}"/>
            </a:ext>
          </a:extLst>
        </xdr:cNvPr>
        <xdr:cNvSpPr/>
      </xdr:nvSpPr>
      <xdr:spPr>
        <a:xfrm>
          <a:off x="7709647" y="717176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09106"/>
            <a:gd name="adj6" fmla="val -3700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414618</xdr:colOff>
      <xdr:row>41</xdr:row>
      <xdr:rowOff>67236</xdr:rowOff>
    </xdr:from>
    <xdr:to>
      <xdr:col>7</xdr:col>
      <xdr:colOff>22413</xdr:colOff>
      <xdr:row>42</xdr:row>
      <xdr:rowOff>112058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31F89FAA-D939-4539-91E1-582BAE322329}"/>
            </a:ext>
          </a:extLst>
        </xdr:cNvPr>
        <xdr:cNvSpPr/>
      </xdr:nvSpPr>
      <xdr:spPr>
        <a:xfrm>
          <a:off x="3193677" y="7944971"/>
          <a:ext cx="4605618" cy="392205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100% PSA:  https://en.wikipedia.org/wiki/PSA_prepayment_model</a:t>
          </a:r>
          <a:b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Minden bank természetesen a saját előtörlesztési modelljét használja. </a:t>
          </a:r>
        </a:p>
      </xdr:txBody>
    </xdr:sp>
    <xdr:clientData/>
  </xdr:twoCellAnchor>
  <xdr:twoCellAnchor>
    <xdr:from>
      <xdr:col>0</xdr:col>
      <xdr:colOff>22412</xdr:colOff>
      <xdr:row>0</xdr:row>
      <xdr:rowOff>22413</xdr:rowOff>
    </xdr:from>
    <xdr:to>
      <xdr:col>11</xdr:col>
      <xdr:colOff>0</xdr:colOff>
      <xdr:row>0</xdr:row>
      <xdr:rowOff>952500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D93C5C-FDAC-4910-A56A-9BC6C29914C8}"/>
            </a:ext>
          </a:extLst>
        </xdr:cNvPr>
        <xdr:cNvSpPr txBox="1"/>
      </xdr:nvSpPr>
      <xdr:spPr>
        <a:xfrm>
          <a:off x="22412" y="22413"/>
          <a:ext cx="10893238" cy="930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3. példa: Lakossági jelzáloghitel, fix kamatozású,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előtörlesztési modellezéssel</a:t>
          </a:r>
        </a:p>
        <a:p>
          <a:pPr>
            <a:lnSpc>
              <a:spcPts val="1000"/>
            </a:lnSpc>
          </a:pP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1000"/>
            </a:lnSpc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előtörlesztési modellezett termékről van szó, ezért mind a modellezett pénzáramlást/átárazódást, mind a modellezett termékek eredeti (szerződéses) pénzáramlást/átárazódást szükséges bemutatni.</a:t>
          </a:r>
        </a:p>
        <a:p>
          <a:pPr eaLnBrk="1" fontAlgn="auto" latinLnBrk="0" hangingPunct="1">
            <a:lnSpc>
              <a:spcPts val="1100"/>
            </a:lnSpc>
          </a:pP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lentebb szereplő előtörlesztési modellezés csak példaként szolgál, minden bank a saját előtörlesztési modelljét hivatott használni.</a:t>
          </a:r>
        </a:p>
        <a:p>
          <a:pPr eaLnBrk="1" fontAlgn="auto" latinLnBrk="0" hangingPunct="1">
            <a:lnSpc>
              <a:spcPts val="1100"/>
            </a:lnSpc>
          </a:pP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33617</xdr:colOff>
      <xdr:row>0</xdr:row>
      <xdr:rowOff>627529</xdr:rowOff>
    </xdr:from>
    <xdr:to>
      <xdr:col>8</xdr:col>
      <xdr:colOff>880780</xdr:colOff>
      <xdr:row>1</xdr:row>
      <xdr:rowOff>291353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B8445B8F-2621-4D49-8B2D-FB156987A779}"/>
            </a:ext>
          </a:extLst>
        </xdr:cNvPr>
        <xdr:cNvSpPr/>
      </xdr:nvSpPr>
      <xdr:spPr>
        <a:xfrm>
          <a:off x="7810499" y="627529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9</xdr:col>
      <xdr:colOff>2305050</xdr:colOff>
      <xdr:row>0</xdr:row>
      <xdr:rowOff>2554942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78847753-AA02-496F-9407-E3335853D06D}"/>
            </a:ext>
          </a:extLst>
        </xdr:cNvPr>
        <xdr:cNvSpPr txBox="1"/>
      </xdr:nvSpPr>
      <xdr:spPr>
        <a:xfrm>
          <a:off x="28575" y="38100"/>
          <a:ext cx="11812681" cy="2516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példa: Lakossági</a:t>
          </a:r>
          <a:r>
            <a:rPr lang="hu-HU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látra szóló betétállomány (modellezett)</a:t>
          </a: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olyan instrumentumoknál, ahol az adatszolgáltatónak lehetősége van egyoldalúan megváltoztatni a kamatot, szerződéses tekintetben a legkorábbi ilyen időpont tekintendő az első átárazódás időpontjának, és a továbbiakban a változó kamatozású instrumentumoknál ismertetett módon kell eljárni. Azokat a tételeket, melyekhez átárazási periódust a szerződés nem köt ki, és az adatszolgáltató a kamatmozgásoknak megfelelően szabadon változtathatja a kamatlábat, az 1-30 napos oszlopba kell besorolni.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modellezett állomány a m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odellezett pénzáramlások/átárazódások oszlopban, külön tőke- és külön kamatösszeggel, míg a nem modellezett állomány a szerződés szerinti pénzáramlás/átárazódás összegénél (csak tőkeösszeg) kerüljön feltüntetésre. A modellezett termékek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eredeti (szerződéses) pénzáramlásának (átárazódásának) összege oszlopba szintén csak a szerződéses tőkeösszeg kerül.</a:t>
          </a:r>
          <a:b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lejárat nélküli betétek esetén megkülőnböztetendőek a lakossági, vállalati, hitelintézeti és egyéb ügyfelektől származó betétek (ld. termékkódok).</a:t>
          </a:r>
        </a:p>
        <a:p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alábbi példa esetén feltettük, hogy egy bank rendelkezik 150M HUF lakossági látra szóló betétállománnyal, amelyből 50M non-core, azaz gyors átárazódású (pl. alapkamathoz kötött betétek), míg 100M HUF core állománynak tekinthető, így a bank által modellezett.</a:t>
          </a: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 a bankok eltérő módszertannal és granularitással modellezik látra szóló betétállományukat, ezért a "Modellezett pénzáramlás (átárazódás) összege" oszlopban szereplő értékek részletes levezése nem kerül bemutatásra, mivel az nem lenne tekinthető egy követendő eljárásnak. Minden bank a saját modellezési módszertanát hivatott használni. A modellezett állományokra kamat cash flow-t is szükséges számolni, és eredményét feltüntetni a táblázatban.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997323</xdr:colOff>
      <xdr:row>5</xdr:row>
      <xdr:rowOff>123265</xdr:rowOff>
    </xdr:from>
    <xdr:to>
      <xdr:col>10</xdr:col>
      <xdr:colOff>302558</xdr:colOff>
      <xdr:row>8</xdr:row>
      <xdr:rowOff>67236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20F42C32-1845-47D5-826A-412378B718B4}"/>
            </a:ext>
          </a:extLst>
        </xdr:cNvPr>
        <xdr:cNvSpPr/>
      </xdr:nvSpPr>
      <xdr:spPr>
        <a:xfrm>
          <a:off x="8527676" y="3866030"/>
          <a:ext cx="3630706" cy="414618"/>
        </a:xfrm>
        <a:prstGeom prst="borderCallout2">
          <a:avLst>
            <a:gd name="adj1" fmla="val 53548"/>
            <a:gd name="adj2" fmla="val -1994"/>
            <a:gd name="adj3" fmla="val 50845"/>
            <a:gd name="adj4" fmla="val -16858"/>
            <a:gd name="adj5" fmla="val -38508"/>
            <a:gd name="adj6" fmla="val -2968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Ebbe a lejárati sávba kerül az 50M non-core állomány is, amely tulajdonképpen ON-ként van "modellezve".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1008530</xdr:colOff>
      <xdr:row>0</xdr:row>
      <xdr:rowOff>2229970</xdr:rowOff>
    </xdr:from>
    <xdr:to>
      <xdr:col>8</xdr:col>
      <xdr:colOff>1317811</xdr:colOff>
      <xdr:row>1</xdr:row>
      <xdr:rowOff>358588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04C1AA0E-1457-40ED-872A-05CCED55D60A}"/>
            </a:ext>
          </a:extLst>
        </xdr:cNvPr>
        <xdr:cNvSpPr/>
      </xdr:nvSpPr>
      <xdr:spPr>
        <a:xfrm>
          <a:off x="7933765" y="222997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38101</xdr:rowOff>
    </xdr:from>
    <xdr:to>
      <xdr:col>10</xdr:col>
      <xdr:colOff>19050</xdr:colOff>
      <xdr:row>0</xdr:row>
      <xdr:rowOff>628651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8731F557-9C2E-4BAC-A884-26B7AAFC2F8F}"/>
            </a:ext>
          </a:extLst>
        </xdr:cNvPr>
        <xdr:cNvSpPr txBox="1"/>
      </xdr:nvSpPr>
      <xdr:spPr>
        <a:xfrm>
          <a:off x="1" y="38101"/>
          <a:ext cx="11029949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5. példa: IRS ügylet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112059</xdr:colOff>
      <xdr:row>0</xdr:row>
      <xdr:rowOff>134471</xdr:rowOff>
    </xdr:from>
    <xdr:to>
      <xdr:col>8</xdr:col>
      <xdr:colOff>779929</xdr:colOff>
      <xdr:row>1</xdr:row>
      <xdr:rowOff>179295</xdr:rowOff>
    </xdr:to>
    <xdr:sp macro="" textlink="">
      <xdr:nvSpPr>
        <xdr:cNvPr id="3" name="Felirat: íves vonal 9">
          <a:extLst>
            <a:ext uri="{FF2B5EF4-FFF2-40B4-BE49-F238E27FC236}">
              <a16:creationId xmlns:a16="http://schemas.microsoft.com/office/drawing/2014/main" id="{2082E87F-6ECF-4383-892B-00F9E8FD067A}"/>
            </a:ext>
          </a:extLst>
        </xdr:cNvPr>
        <xdr:cNvSpPr/>
      </xdr:nvSpPr>
      <xdr:spPr>
        <a:xfrm>
          <a:off x="7104530" y="134471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64844"/>
            <a:gd name="adj6" fmla="val -4009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47624</xdr:rowOff>
    </xdr:from>
    <xdr:to>
      <xdr:col>9</xdr:col>
      <xdr:colOff>2238376</xdr:colOff>
      <xdr:row>0</xdr:row>
      <xdr:rowOff>1190625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79A3D50-37D6-4245-BED4-174D706B5F50}"/>
            </a:ext>
          </a:extLst>
        </xdr:cNvPr>
        <xdr:cNvSpPr txBox="1"/>
      </xdr:nvSpPr>
      <xdr:spPr>
        <a:xfrm>
          <a:off x="1" y="47624"/>
          <a:ext cx="10858500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4. példa: CCIRS ügylet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(bázis swap)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A példában szerplő CCIRS ügylet egy bézis swap: két változó kamat kerül cserére. Ezen ügyleteknél tényleges névérték-csere történik, így ezt is szerepeltetni kell. A változó lábaknál a fennálló tőkeösszeget a következő átárazódás időpontjánál kell feltüntetni.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Fontos, hogy adott napi MNB középárfolyamon forintosított, előjeles összegek kerüljenek feltüntetésre a táblázat megfelelő soraiban.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809626</xdr:colOff>
      <xdr:row>22</xdr:row>
      <xdr:rowOff>75640</xdr:rowOff>
    </xdr:from>
    <xdr:to>
      <xdr:col>6</xdr:col>
      <xdr:colOff>717176</xdr:colOff>
      <xdr:row>25</xdr:row>
      <xdr:rowOff>8965</xdr:rowOff>
    </xdr:to>
    <xdr:sp macro="" textlink="">
      <xdr:nvSpPr>
        <xdr:cNvPr id="3" name="Felirat: íves vonal 2">
          <a:extLst>
            <a:ext uri="{FF2B5EF4-FFF2-40B4-BE49-F238E27FC236}">
              <a16:creationId xmlns:a16="http://schemas.microsoft.com/office/drawing/2014/main" id="{627ABBA2-6779-4237-8E7F-6FDBDB7877C4}"/>
            </a:ext>
          </a:extLst>
        </xdr:cNvPr>
        <xdr:cNvSpPr/>
      </xdr:nvSpPr>
      <xdr:spPr>
        <a:xfrm>
          <a:off x="3969685" y="5039846"/>
          <a:ext cx="2854697" cy="426384"/>
        </a:xfrm>
        <a:prstGeom prst="borderCallout2">
          <a:avLst>
            <a:gd name="adj1" fmla="val 29659"/>
            <a:gd name="adj2" fmla="val -5061"/>
            <a:gd name="adj3" fmla="val 30196"/>
            <a:gd name="adj4" fmla="val -24329"/>
            <a:gd name="adj5" fmla="val 145278"/>
            <a:gd name="adj6" fmla="val -4251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Ezek már szintén csak a kamatfelár komponensek.</a:t>
          </a:r>
          <a:endParaRPr lang="hu-HU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1456765</xdr:colOff>
      <xdr:row>0</xdr:row>
      <xdr:rowOff>762000</xdr:rowOff>
    </xdr:from>
    <xdr:to>
      <xdr:col>9</xdr:col>
      <xdr:colOff>387723</xdr:colOff>
      <xdr:row>1</xdr:row>
      <xdr:rowOff>201706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F6630855-4CE9-48DD-A0E5-E2BCC7ED48F4}"/>
            </a:ext>
          </a:extLst>
        </xdr:cNvPr>
        <xdr:cNvSpPr/>
      </xdr:nvSpPr>
      <xdr:spPr>
        <a:xfrm>
          <a:off x="8482853" y="762000"/>
          <a:ext cx="2539252" cy="683559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143533"/>
            <a:gd name="adj6" fmla="val -9305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 két új oszlop (átárazási periódus (eredeti) és átlagos ügyleti kamat (%) a 2021. évi kitöltési útmutató alapján töltendő)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9"/>
  <sheetViews>
    <sheetView tabSelected="1" workbookViewId="0">
      <selection activeCell="I6" sqref="I6"/>
    </sheetView>
  </sheetViews>
  <sheetFormatPr defaultRowHeight="12.75" x14ac:dyDescent="0.2"/>
  <cols>
    <col min="1" max="1" width="36.42578125" style="47" customWidth="1"/>
    <col min="2" max="3" width="9.140625" style="47"/>
    <col min="4" max="4" width="26" style="47" customWidth="1"/>
    <col min="5" max="16384" width="9.140625" style="47"/>
  </cols>
  <sheetData>
    <row r="1" spans="1:4" ht="23.25" customHeight="1" x14ac:dyDescent="0.2">
      <c r="A1" s="212" t="s">
        <v>87</v>
      </c>
      <c r="B1" s="212"/>
      <c r="C1" s="212"/>
      <c r="D1" s="212"/>
    </row>
    <row r="2" spans="1:4" ht="23.25" customHeight="1" x14ac:dyDescent="0.2">
      <c r="A2" s="212"/>
      <c r="B2" s="212"/>
      <c r="C2" s="212"/>
      <c r="D2" s="212"/>
    </row>
    <row r="3" spans="1:4" ht="22.5" customHeight="1" x14ac:dyDescent="0.2">
      <c r="A3" s="213" t="s">
        <v>136</v>
      </c>
      <c r="B3" s="213"/>
      <c r="C3" s="213"/>
      <c r="D3" s="213"/>
    </row>
    <row r="4" spans="1:4" ht="22.5" customHeight="1" x14ac:dyDescent="0.2">
      <c r="A4" s="213" t="s">
        <v>86</v>
      </c>
      <c r="B4" s="213"/>
      <c r="C4" s="213"/>
      <c r="D4" s="213"/>
    </row>
    <row r="5" spans="1:4" ht="22.5" customHeight="1" x14ac:dyDescent="0.2">
      <c r="A5" s="213" t="s">
        <v>127</v>
      </c>
      <c r="B5" s="213"/>
      <c r="C5" s="213"/>
      <c r="D5" s="213"/>
    </row>
    <row r="6" spans="1:4" ht="22.5" customHeight="1" x14ac:dyDescent="0.2">
      <c r="A6" s="213" t="s">
        <v>128</v>
      </c>
      <c r="B6" s="213"/>
      <c r="C6" s="213"/>
      <c r="D6" s="213"/>
    </row>
    <row r="7" spans="1:4" ht="22.5" customHeight="1" x14ac:dyDescent="0.2">
      <c r="A7" s="213" t="s">
        <v>126</v>
      </c>
      <c r="B7" s="213"/>
      <c r="C7" s="213"/>
      <c r="D7" s="213"/>
    </row>
    <row r="8" spans="1:4" ht="22.5" customHeight="1" x14ac:dyDescent="0.2">
      <c r="A8" s="213" t="s">
        <v>134</v>
      </c>
      <c r="B8" s="213"/>
      <c r="C8" s="213"/>
      <c r="D8" s="213"/>
    </row>
    <row r="9" spans="1:4" ht="22.5" customHeight="1" x14ac:dyDescent="0.2">
      <c r="A9" s="213" t="s">
        <v>135</v>
      </c>
      <c r="B9" s="213"/>
      <c r="C9" s="213"/>
      <c r="D9" s="213"/>
    </row>
  </sheetData>
  <mergeCells count="8">
    <mergeCell ref="A1:D2"/>
    <mergeCell ref="A7:D7"/>
    <mergeCell ref="A8:D8"/>
    <mergeCell ref="A9:D9"/>
    <mergeCell ref="A3:D3"/>
    <mergeCell ref="A4:D4"/>
    <mergeCell ref="A5:D5"/>
    <mergeCell ref="A6:D6"/>
  </mergeCells>
  <hyperlinks>
    <hyperlink ref="A4" location="'1_corp_loan'!A1" display="1. példa: Vállalati hitel" xr:uid="{00000000-0004-0000-0000-000000000000}"/>
    <hyperlink ref="A5" location="'2_mortg_prep'!A1" display="2. példa: Lakossági jelzáloghitel, előtörlesztési modellezéssel" xr:uid="{00000000-0004-0000-0000-000001000000}"/>
    <hyperlink ref="A7" location="'3_retail_nmd'!A1" display="3. példa: Modellezett látra szóló betét (lakossági)" xr:uid="{00000000-0004-0000-0000-000002000000}"/>
    <hyperlink ref="A3" location="'9R1'!A1" display="9R1 tábla felépítése" xr:uid="{00000000-0004-0000-0000-000003000000}"/>
    <hyperlink ref="A6" location="'2_mortg_prep'!A1" display="2. példa: Lakossági jelzáloghitel, előtörlesztési modellezéssel" xr:uid="{00000000-0004-0000-0000-000004000000}"/>
    <hyperlink ref="A6:D6" location="'3_mortg_prep'!A1" display="3. példa: Lakossági fix jelzáloghitel, előtörlesztési modellezéssel" xr:uid="{00000000-0004-0000-0000-000005000000}"/>
    <hyperlink ref="A7:D7" location="'4_retail_nmd'!A1" display="4. példa: Modellezett látra szóló betét (lakossági)" xr:uid="{00000000-0004-0000-0000-000006000000}"/>
    <hyperlink ref="A9:D9" location="'6_CCIRS'!A1" display="6. példa: CCIRS" xr:uid="{00000000-0004-0000-0000-000007000000}"/>
    <hyperlink ref="A8:D8" location="'5_IRS'!A1" display="5. példa: Kamatcsereügylet" xr:uid="{00000000-0004-0000-0000-000008000000}"/>
    <hyperlink ref="A5:D5" location="'2_mortg_float'!A1" display="2. példa: Lakossági jelzáloghitel, 5 éves kamatperiódus" xr:uid="{00000000-0004-0000-0000-000009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N21"/>
  <sheetViews>
    <sheetView zoomScale="85" zoomScaleNormal="85" workbookViewId="0">
      <selection activeCell="D4" sqref="D4"/>
    </sheetView>
  </sheetViews>
  <sheetFormatPr defaultRowHeight="12.75" x14ac:dyDescent="0.2"/>
  <cols>
    <col min="1" max="1" width="9.42578125" style="1" bestFit="1" customWidth="1"/>
    <col min="2" max="2" width="11.85546875" style="1" customWidth="1"/>
    <col min="3" max="3" width="13.140625" style="1" bestFit="1" customWidth="1"/>
    <col min="4" max="4" width="11.28515625" style="1" bestFit="1" customWidth="1"/>
    <col min="5" max="5" width="12.140625" style="1" bestFit="1" customWidth="1"/>
    <col min="6" max="6" width="17.85546875" style="1" bestFit="1" customWidth="1"/>
    <col min="7" max="7" width="20.140625" style="1" customWidth="1"/>
    <col min="8" max="10" width="16" style="1" customWidth="1"/>
    <col min="11" max="11" width="30.140625" style="1" customWidth="1"/>
    <col min="12" max="12" width="32.7109375" style="1" customWidth="1"/>
    <col min="13" max="13" width="45.28515625" style="1" customWidth="1"/>
    <col min="14" max="14" width="6.140625" style="1" customWidth="1"/>
    <col min="15" max="16384" width="9.140625" style="1"/>
  </cols>
  <sheetData>
    <row r="1" spans="1:14" ht="20.25" x14ac:dyDescent="0.2">
      <c r="A1" s="216" t="s">
        <v>23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5.75" x14ac:dyDescent="0.2">
      <c r="A2" s="217" t="s">
        <v>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14.25" thickBot="1" x14ac:dyDescent="0.25">
      <c r="A3" s="218" t="s">
        <v>22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4" ht="39.75" thickTop="1" thickBot="1" x14ac:dyDescent="0.25">
      <c r="A4" s="219" t="s">
        <v>37</v>
      </c>
      <c r="B4" s="219" t="s">
        <v>21</v>
      </c>
      <c r="C4" s="219" t="s">
        <v>20</v>
      </c>
      <c r="D4" s="58" t="s">
        <v>19</v>
      </c>
      <c r="E4" s="58" t="s">
        <v>18</v>
      </c>
      <c r="F4" s="58" t="s">
        <v>17</v>
      </c>
      <c r="G4" s="25" t="s">
        <v>16</v>
      </c>
      <c r="H4" s="25" t="s">
        <v>15</v>
      </c>
      <c r="I4" s="25" t="s">
        <v>139</v>
      </c>
      <c r="J4" s="25" t="s">
        <v>140</v>
      </c>
      <c r="K4" s="25" t="s">
        <v>14</v>
      </c>
      <c r="L4" s="25" t="s">
        <v>13</v>
      </c>
      <c r="M4" s="25" t="s">
        <v>12</v>
      </c>
      <c r="N4" s="25" t="s">
        <v>11</v>
      </c>
    </row>
    <row r="5" spans="1:14" ht="14.25" thickTop="1" thickBot="1" x14ac:dyDescent="0.25">
      <c r="A5" s="220"/>
      <c r="B5" s="220"/>
      <c r="C5" s="220"/>
      <c r="D5" s="25">
        <v>1</v>
      </c>
      <c r="E5" s="25">
        <v>2</v>
      </c>
      <c r="F5" s="25">
        <v>3</v>
      </c>
      <c r="G5" s="25">
        <v>4</v>
      </c>
      <c r="H5" s="25">
        <v>5</v>
      </c>
      <c r="I5" s="25">
        <v>6</v>
      </c>
      <c r="J5" s="25">
        <v>7</v>
      </c>
      <c r="K5" s="25">
        <v>8</v>
      </c>
      <c r="L5" s="25">
        <v>9</v>
      </c>
      <c r="M5" s="25">
        <v>10</v>
      </c>
      <c r="N5" s="25">
        <v>11</v>
      </c>
    </row>
    <row r="6" spans="1:14" ht="14.25" thickTop="1" thickBot="1" x14ac:dyDescent="0.25">
      <c r="A6" s="221"/>
      <c r="B6" s="221"/>
      <c r="C6" s="221"/>
      <c r="D6" s="25" t="s">
        <v>10</v>
      </c>
      <c r="E6" s="25" t="s">
        <v>9</v>
      </c>
      <c r="F6" s="25" t="s">
        <v>8</v>
      </c>
      <c r="G6" s="25" t="s">
        <v>7</v>
      </c>
      <c r="H6" s="25" t="s">
        <v>6</v>
      </c>
      <c r="I6" s="25" t="s">
        <v>5</v>
      </c>
      <c r="J6" s="25" t="s">
        <v>4</v>
      </c>
      <c r="K6" s="25" t="s">
        <v>3</v>
      </c>
      <c r="L6" s="25" t="s">
        <v>141</v>
      </c>
      <c r="M6" s="25" t="s">
        <v>142</v>
      </c>
      <c r="N6" s="25" t="s">
        <v>2</v>
      </c>
    </row>
    <row r="7" spans="1:14" ht="13.5" thickTop="1" x14ac:dyDescent="0.2">
      <c r="A7" s="24">
        <v>1</v>
      </c>
      <c r="B7" s="23" t="s">
        <v>1</v>
      </c>
      <c r="C7" s="22"/>
      <c r="D7" s="32"/>
      <c r="E7" s="31"/>
      <c r="F7" s="31"/>
      <c r="G7" s="31"/>
      <c r="H7" s="31"/>
      <c r="I7" s="195"/>
      <c r="J7" s="198"/>
      <c r="K7" s="30"/>
      <c r="L7" s="30"/>
      <c r="M7" s="30"/>
      <c r="N7" s="21"/>
    </row>
    <row r="8" spans="1:14" x14ac:dyDescent="0.2">
      <c r="A8" s="19"/>
      <c r="B8" s="18" t="s">
        <v>38</v>
      </c>
      <c r="C8" s="4" t="s">
        <v>38</v>
      </c>
      <c r="D8" s="9"/>
      <c r="E8" s="29"/>
      <c r="F8" s="29"/>
      <c r="G8" s="29"/>
      <c r="H8" s="29"/>
      <c r="I8" s="196"/>
      <c r="J8" s="199"/>
      <c r="K8" s="20"/>
      <c r="L8" s="20"/>
      <c r="M8" s="20"/>
      <c r="N8" s="17"/>
    </row>
    <row r="9" spans="1:14" ht="13.5" thickBot="1" x14ac:dyDescent="0.25">
      <c r="A9" s="16"/>
      <c r="B9" s="15" t="s">
        <v>0</v>
      </c>
      <c r="C9" s="2"/>
      <c r="D9" s="28"/>
      <c r="E9" s="27"/>
      <c r="F9" s="27"/>
      <c r="G9" s="27"/>
      <c r="H9" s="27"/>
      <c r="I9" s="197"/>
      <c r="J9" s="199"/>
      <c r="K9" s="26"/>
      <c r="L9" s="26"/>
      <c r="M9" s="26"/>
      <c r="N9" s="14"/>
    </row>
    <row r="10" spans="1:14" ht="14.25" thickTop="1" thickBot="1" x14ac:dyDescent="0.25"/>
    <row r="11" spans="1:14" ht="14.25" thickTop="1" thickBot="1" x14ac:dyDescent="0.25">
      <c r="B11" s="214" t="s">
        <v>34</v>
      </c>
      <c r="C11" s="215"/>
    </row>
    <row r="12" spans="1:14" ht="13.5" thickTop="1" x14ac:dyDescent="0.2">
      <c r="B12" s="13"/>
      <c r="C12" s="4" t="s">
        <v>33</v>
      </c>
    </row>
    <row r="13" spans="1:14" x14ac:dyDescent="0.2">
      <c r="B13" s="12"/>
      <c r="C13" s="4" t="s">
        <v>32</v>
      </c>
    </row>
    <row r="14" spans="1:14" ht="25.5" x14ac:dyDescent="0.2">
      <c r="B14" s="11"/>
      <c r="C14" s="4" t="s">
        <v>31</v>
      </c>
    </row>
    <row r="15" spans="1:14" ht="25.5" x14ac:dyDescent="0.2">
      <c r="B15" s="10"/>
      <c r="C15" s="4" t="s">
        <v>30</v>
      </c>
    </row>
    <row r="16" spans="1:14" x14ac:dyDescent="0.2">
      <c r="B16" s="9"/>
      <c r="C16" s="4" t="s">
        <v>29</v>
      </c>
    </row>
    <row r="17" spans="2:3" x14ac:dyDescent="0.2">
      <c r="B17" s="8"/>
      <c r="C17" s="4" t="s">
        <v>28</v>
      </c>
    </row>
    <row r="18" spans="2:3" x14ac:dyDescent="0.2">
      <c r="B18" s="7"/>
      <c r="C18" s="4" t="s">
        <v>27</v>
      </c>
    </row>
    <row r="19" spans="2:3" x14ac:dyDescent="0.2">
      <c r="B19" s="6"/>
      <c r="C19" s="4" t="s">
        <v>26</v>
      </c>
    </row>
    <row r="20" spans="2:3" ht="25.5" x14ac:dyDescent="0.2">
      <c r="B20" s="5"/>
      <c r="C20" s="4" t="s">
        <v>25</v>
      </c>
    </row>
    <row r="21" spans="2:3" ht="26.25" thickBot="1" x14ac:dyDescent="0.25">
      <c r="B21" s="3"/>
      <c r="C21" s="2" t="s">
        <v>24</v>
      </c>
    </row>
  </sheetData>
  <mergeCells count="7">
    <mergeCell ref="B11:C11"/>
    <mergeCell ref="A1:N1"/>
    <mergeCell ref="A2:N2"/>
    <mergeCell ref="A3:N3"/>
    <mergeCell ref="A4:A6"/>
    <mergeCell ref="B4:B6"/>
    <mergeCell ref="C4:C6"/>
  </mergeCells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76"/>
  <sheetViews>
    <sheetView zoomScale="85" zoomScaleNormal="85" workbookViewId="0">
      <selection activeCell="F2" sqref="F2:G2"/>
    </sheetView>
  </sheetViews>
  <sheetFormatPr defaultRowHeight="12.75" x14ac:dyDescent="0.2"/>
  <cols>
    <col min="1" max="1" width="17.140625" style="47" customWidth="1"/>
    <col min="2" max="2" width="21.42578125" style="47" bestFit="1" customWidth="1"/>
    <col min="3" max="3" width="24.42578125" style="47" customWidth="1"/>
    <col min="4" max="4" width="15.5703125" style="47" bestFit="1" customWidth="1"/>
    <col min="5" max="7" width="19.42578125" style="47" customWidth="1"/>
    <col min="8" max="8" width="22" style="47" customWidth="1"/>
    <col min="9" max="9" width="21.140625" style="47" customWidth="1"/>
    <col min="10" max="10" width="30.7109375" style="47" customWidth="1"/>
    <col min="11" max="11" width="21.42578125" style="47" bestFit="1" customWidth="1"/>
    <col min="12" max="12" width="22.42578125" style="47" customWidth="1"/>
    <col min="13" max="13" width="19" style="47" customWidth="1"/>
    <col min="14" max="14" width="6.28515625" style="47" customWidth="1"/>
    <col min="15" max="16384" width="9.140625" style="47"/>
  </cols>
  <sheetData>
    <row r="1" spans="1:12" ht="96" customHeight="1" thickBot="1" x14ac:dyDescent="0.25">
      <c r="J1" s="63"/>
      <c r="L1" s="63"/>
    </row>
    <row r="2" spans="1:12" ht="59.25" customHeight="1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2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2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2" ht="13.5" thickTop="1" x14ac:dyDescent="0.2">
      <c r="A5" s="35" t="s">
        <v>36</v>
      </c>
      <c r="B5" s="37" t="s">
        <v>57</v>
      </c>
      <c r="C5" s="34" t="s">
        <v>58</v>
      </c>
      <c r="D5" s="34" t="s">
        <v>59</v>
      </c>
      <c r="E5" s="41" t="s">
        <v>61</v>
      </c>
      <c r="F5" s="204" t="s">
        <v>143</v>
      </c>
      <c r="G5" s="205" t="s">
        <v>144</v>
      </c>
      <c r="H5" s="43"/>
      <c r="I5" s="43">
        <f>+B32+D31</f>
        <v>40000000</v>
      </c>
      <c r="J5" s="43"/>
      <c r="K5" s="59"/>
    </row>
    <row r="6" spans="1:12" x14ac:dyDescent="0.2">
      <c r="A6" s="51" t="s">
        <v>36</v>
      </c>
      <c r="B6" s="40" t="s">
        <v>57</v>
      </c>
      <c r="C6" s="52" t="s">
        <v>58</v>
      </c>
      <c r="D6" s="52" t="s">
        <v>60</v>
      </c>
      <c r="E6" s="41" t="s">
        <v>74</v>
      </c>
      <c r="F6" s="206" t="s">
        <v>143</v>
      </c>
      <c r="G6" s="207" t="s">
        <v>144</v>
      </c>
      <c r="H6" s="96"/>
      <c r="I6" s="96">
        <f>+F29</f>
        <v>21666.666666666668</v>
      </c>
      <c r="J6" s="96"/>
      <c r="K6" s="165"/>
    </row>
    <row r="7" spans="1:12" x14ac:dyDescent="0.2">
      <c r="A7" s="36" t="s">
        <v>36</v>
      </c>
      <c r="B7" s="38" t="s">
        <v>57</v>
      </c>
      <c r="C7" s="39" t="s">
        <v>58</v>
      </c>
      <c r="D7" s="39" t="s">
        <v>60</v>
      </c>
      <c r="E7" s="39" t="s">
        <v>61</v>
      </c>
      <c r="F7" s="206" t="s">
        <v>143</v>
      </c>
      <c r="G7" s="207" t="s">
        <v>144</v>
      </c>
      <c r="H7" s="44"/>
      <c r="I7" s="44">
        <f>+F32</f>
        <v>46875</v>
      </c>
      <c r="J7" s="44"/>
      <c r="K7" s="60"/>
    </row>
    <row r="8" spans="1:12" x14ac:dyDescent="0.2">
      <c r="A8" s="36" t="s">
        <v>36</v>
      </c>
      <c r="B8" s="38" t="s">
        <v>57</v>
      </c>
      <c r="C8" s="39" t="s">
        <v>58</v>
      </c>
      <c r="D8" s="39" t="s">
        <v>60</v>
      </c>
      <c r="E8" s="41" t="s">
        <v>62</v>
      </c>
      <c r="F8" s="206" t="s">
        <v>143</v>
      </c>
      <c r="G8" s="207" t="s">
        <v>144</v>
      </c>
      <c r="H8" s="45"/>
      <c r="I8" s="45">
        <f>+F32</f>
        <v>46875</v>
      </c>
      <c r="J8" s="45"/>
      <c r="K8" s="61"/>
    </row>
    <row r="9" spans="1:12" x14ac:dyDescent="0.2">
      <c r="A9" s="36" t="s">
        <v>36</v>
      </c>
      <c r="B9" s="38" t="s">
        <v>57</v>
      </c>
      <c r="C9" s="39" t="s">
        <v>58</v>
      </c>
      <c r="D9" s="39" t="s">
        <v>60</v>
      </c>
      <c r="E9" s="41" t="s">
        <v>63</v>
      </c>
      <c r="F9" s="206" t="s">
        <v>143</v>
      </c>
      <c r="G9" s="207" t="s">
        <v>144</v>
      </c>
      <c r="H9" s="45"/>
      <c r="I9" s="45">
        <f>+F35</f>
        <v>43750</v>
      </c>
      <c r="J9" s="45"/>
      <c r="K9" s="61"/>
    </row>
    <row r="10" spans="1:12" x14ac:dyDescent="0.2">
      <c r="A10" s="36" t="s">
        <v>36</v>
      </c>
      <c r="B10" s="38" t="s">
        <v>57</v>
      </c>
      <c r="C10" s="39" t="s">
        <v>58</v>
      </c>
      <c r="D10" s="39" t="s">
        <v>60</v>
      </c>
      <c r="E10" s="41" t="s">
        <v>64</v>
      </c>
      <c r="F10" s="206" t="s">
        <v>143</v>
      </c>
      <c r="G10" s="207" t="s">
        <v>144</v>
      </c>
      <c r="H10" s="45"/>
      <c r="I10" s="45">
        <f>+F38</f>
        <v>40625</v>
      </c>
      <c r="J10" s="45"/>
      <c r="K10" s="61"/>
    </row>
    <row r="11" spans="1:12" x14ac:dyDescent="0.2">
      <c r="A11" s="36" t="s">
        <v>36</v>
      </c>
      <c r="B11" s="38" t="s">
        <v>57</v>
      </c>
      <c r="C11" s="39" t="s">
        <v>58</v>
      </c>
      <c r="D11" s="39" t="s">
        <v>60</v>
      </c>
      <c r="E11" s="41" t="s">
        <v>65</v>
      </c>
      <c r="F11" s="206" t="s">
        <v>143</v>
      </c>
      <c r="G11" s="207" t="s">
        <v>144</v>
      </c>
      <c r="H11" s="45"/>
      <c r="I11" s="45">
        <f>+F41</f>
        <v>71875</v>
      </c>
      <c r="J11" s="45"/>
      <c r="K11" s="61"/>
    </row>
    <row r="12" spans="1:12" x14ac:dyDescent="0.2">
      <c r="A12" s="36" t="s">
        <v>36</v>
      </c>
      <c r="B12" s="38" t="s">
        <v>57</v>
      </c>
      <c r="C12" s="39" t="s">
        <v>58</v>
      </c>
      <c r="D12" s="39" t="s">
        <v>60</v>
      </c>
      <c r="E12" s="41" t="s">
        <v>66</v>
      </c>
      <c r="F12" s="206" t="s">
        <v>143</v>
      </c>
      <c r="G12" s="207" t="s">
        <v>144</v>
      </c>
      <c r="H12" s="45"/>
      <c r="I12" s="45">
        <f>+F47</f>
        <v>59375</v>
      </c>
      <c r="J12" s="45"/>
      <c r="K12" s="61"/>
    </row>
    <row r="13" spans="1:12" x14ac:dyDescent="0.2">
      <c r="A13" s="36" t="s">
        <v>36</v>
      </c>
      <c r="B13" s="38" t="s">
        <v>57</v>
      </c>
      <c r="C13" s="39" t="s">
        <v>58</v>
      </c>
      <c r="D13" s="39" t="s">
        <v>60</v>
      </c>
      <c r="E13" s="41" t="s">
        <v>67</v>
      </c>
      <c r="F13" s="206" t="s">
        <v>143</v>
      </c>
      <c r="G13" s="207" t="s">
        <v>144</v>
      </c>
      <c r="H13" s="45"/>
      <c r="I13" s="45">
        <f>+F53</f>
        <v>81249.999999999985</v>
      </c>
      <c r="J13" s="45"/>
      <c r="K13" s="61"/>
    </row>
    <row r="14" spans="1:12" ht="13.5" thickBot="1" x14ac:dyDescent="0.25">
      <c r="A14" s="64" t="s">
        <v>36</v>
      </c>
      <c r="B14" s="65" t="s">
        <v>57</v>
      </c>
      <c r="C14" s="65" t="s">
        <v>58</v>
      </c>
      <c r="D14" s="65" t="s">
        <v>60</v>
      </c>
      <c r="E14" s="65" t="s">
        <v>68</v>
      </c>
      <c r="F14" s="208" t="s">
        <v>143</v>
      </c>
      <c r="G14" s="209" t="s">
        <v>144</v>
      </c>
      <c r="H14" s="66"/>
      <c r="I14" s="66">
        <f>+F65</f>
        <v>31250</v>
      </c>
      <c r="J14" s="66"/>
      <c r="K14" s="67"/>
    </row>
    <row r="15" spans="1:12" ht="13.5" thickTop="1" x14ac:dyDescent="0.2"/>
    <row r="16" spans="1:12" x14ac:dyDescent="0.2">
      <c r="A16" s="77" t="s">
        <v>40</v>
      </c>
      <c r="B16" s="78" t="s">
        <v>97</v>
      </c>
    </row>
    <row r="17" spans="1:6" x14ac:dyDescent="0.2">
      <c r="A17" s="77" t="s">
        <v>19</v>
      </c>
      <c r="B17" s="78" t="s">
        <v>36</v>
      </c>
    </row>
    <row r="18" spans="1:6" x14ac:dyDescent="0.2">
      <c r="A18" s="77" t="s">
        <v>41</v>
      </c>
      <c r="B18" s="68" t="s">
        <v>56</v>
      </c>
    </row>
    <row r="19" spans="1:6" x14ac:dyDescent="0.2">
      <c r="A19" s="77" t="s">
        <v>43</v>
      </c>
      <c r="B19" s="68" t="s">
        <v>52</v>
      </c>
    </row>
    <row r="20" spans="1:6" x14ac:dyDescent="0.2">
      <c r="A20" s="77" t="s">
        <v>42</v>
      </c>
      <c r="B20" s="68" t="s">
        <v>53</v>
      </c>
      <c r="C20" s="62"/>
    </row>
    <row r="21" spans="1:6" x14ac:dyDescent="0.2">
      <c r="A21" s="77" t="s">
        <v>44</v>
      </c>
      <c r="B21" s="68" t="s">
        <v>45</v>
      </c>
    </row>
    <row r="22" spans="1:6" x14ac:dyDescent="0.2">
      <c r="A22" s="77" t="s">
        <v>46</v>
      </c>
      <c r="B22" s="68" t="s">
        <v>48</v>
      </c>
    </row>
    <row r="23" spans="1:6" x14ac:dyDescent="0.2">
      <c r="A23" s="77" t="s">
        <v>47</v>
      </c>
      <c r="B23" s="79" t="s">
        <v>49</v>
      </c>
    </row>
    <row r="24" spans="1:6" x14ac:dyDescent="0.2">
      <c r="A24" s="77" t="s">
        <v>50</v>
      </c>
      <c r="B24" s="68" t="s">
        <v>51</v>
      </c>
    </row>
    <row r="25" spans="1:6" x14ac:dyDescent="0.2">
      <c r="A25" s="225" t="s">
        <v>69</v>
      </c>
      <c r="B25" s="226"/>
    </row>
    <row r="26" spans="1:6" ht="13.5" thickBot="1" x14ac:dyDescent="0.25"/>
    <row r="27" spans="1:6" x14ac:dyDescent="0.2">
      <c r="A27" s="227" t="s">
        <v>117</v>
      </c>
      <c r="B27" s="228"/>
      <c r="C27" s="228"/>
      <c r="D27" s="229"/>
      <c r="E27" s="201" t="s">
        <v>89</v>
      </c>
      <c r="F27" s="202"/>
    </row>
    <row r="28" spans="1:6" ht="13.5" thickBot="1" x14ac:dyDescent="0.25">
      <c r="A28" s="74" t="s">
        <v>119</v>
      </c>
      <c r="B28" s="76" t="s">
        <v>118</v>
      </c>
      <c r="C28" s="76" t="s">
        <v>54</v>
      </c>
      <c r="D28" s="75" t="s">
        <v>55</v>
      </c>
      <c r="E28" s="74" t="s">
        <v>90</v>
      </c>
      <c r="F28" s="75" t="s">
        <v>88</v>
      </c>
    </row>
    <row r="29" spans="1:6" ht="13.5" thickBot="1" x14ac:dyDescent="0.25">
      <c r="A29" s="70">
        <v>1</v>
      </c>
      <c r="B29" s="71">
        <v>40000000</v>
      </c>
      <c r="C29" s="69">
        <f>+B29*(0.0015+0.005)/12</f>
        <v>21666.666666666668</v>
      </c>
      <c r="D29" s="71">
        <f>+IF(MOD(A29,3)=0,70000000/28,0)</f>
        <v>0</v>
      </c>
      <c r="E29" s="164">
        <f>+A29/12</f>
        <v>8.3333333333333329E-2</v>
      </c>
      <c r="F29" s="158">
        <f>+C29</f>
        <v>21666.666666666668</v>
      </c>
    </row>
    <row r="30" spans="1:6" x14ac:dyDescent="0.2">
      <c r="A30" s="70">
        <v>2</v>
      </c>
      <c r="B30" s="71">
        <f t="shared" ref="B30:B76" si="0">+B29-D29</f>
        <v>40000000</v>
      </c>
      <c r="C30" s="69">
        <f>+B30*(0.0015+0.005)/12</f>
        <v>21666.666666666668</v>
      </c>
      <c r="D30" s="71">
        <f t="shared" ref="D30:D76" si="1">+IF(MOD(A30,3)=0,70000000/28,0)</f>
        <v>0</v>
      </c>
      <c r="E30" s="166">
        <f t="shared" ref="E30:E76" si="2">+A30/12</f>
        <v>0.16666666666666666</v>
      </c>
      <c r="F30" s="222">
        <f>+C30+C31</f>
        <v>43333.333333333336</v>
      </c>
    </row>
    <row r="31" spans="1:6" ht="13.5" thickBot="1" x14ac:dyDescent="0.25">
      <c r="A31" s="72">
        <v>3</v>
      </c>
      <c r="B31" s="73">
        <f t="shared" si="0"/>
        <v>40000000</v>
      </c>
      <c r="C31" s="161">
        <f>+B31*(0.0015+0.005)/12</f>
        <v>21666.666666666668</v>
      </c>
      <c r="D31" s="73">
        <f t="shared" si="1"/>
        <v>2500000</v>
      </c>
      <c r="E31" s="164">
        <f t="shared" si="2"/>
        <v>0.25</v>
      </c>
      <c r="F31" s="224"/>
    </row>
    <row r="32" spans="1:6" x14ac:dyDescent="0.2">
      <c r="A32" s="70">
        <v>4</v>
      </c>
      <c r="B32" s="163">
        <f t="shared" si="0"/>
        <v>37500000</v>
      </c>
      <c r="C32" s="162">
        <f>+B32*(0.005)/12</f>
        <v>15625</v>
      </c>
      <c r="D32" s="71">
        <f t="shared" si="1"/>
        <v>0</v>
      </c>
      <c r="E32" s="166">
        <f t="shared" si="2"/>
        <v>0.33333333333333331</v>
      </c>
      <c r="F32" s="222">
        <f>+SUM(C32:C34)</f>
        <v>46875</v>
      </c>
    </row>
    <row r="33" spans="1:6" x14ac:dyDescent="0.2">
      <c r="A33" s="70">
        <v>5</v>
      </c>
      <c r="B33" s="71">
        <f t="shared" si="0"/>
        <v>37500000</v>
      </c>
      <c r="C33" s="162">
        <f t="shared" ref="C33:C76" si="3">+B33*(0.005)/12</f>
        <v>15625</v>
      </c>
      <c r="D33" s="71">
        <f t="shared" si="1"/>
        <v>0</v>
      </c>
      <c r="E33" s="167">
        <f t="shared" si="2"/>
        <v>0.41666666666666669</v>
      </c>
      <c r="F33" s="223"/>
    </row>
    <row r="34" spans="1:6" ht="13.5" thickBot="1" x14ac:dyDescent="0.25">
      <c r="A34" s="70">
        <v>6</v>
      </c>
      <c r="B34" s="71">
        <f t="shared" si="0"/>
        <v>37500000</v>
      </c>
      <c r="C34" s="162">
        <f t="shared" si="3"/>
        <v>15625</v>
      </c>
      <c r="D34" s="71">
        <f t="shared" si="1"/>
        <v>2500000</v>
      </c>
      <c r="E34" s="164">
        <f t="shared" si="2"/>
        <v>0.5</v>
      </c>
      <c r="F34" s="224"/>
    </row>
    <row r="35" spans="1:6" x14ac:dyDescent="0.2">
      <c r="A35" s="70">
        <v>7</v>
      </c>
      <c r="B35" s="71">
        <f t="shared" si="0"/>
        <v>35000000</v>
      </c>
      <c r="C35" s="162">
        <f t="shared" si="3"/>
        <v>14583.333333333334</v>
      </c>
      <c r="D35" s="71">
        <f t="shared" si="1"/>
        <v>0</v>
      </c>
      <c r="E35" s="166">
        <f t="shared" si="2"/>
        <v>0.58333333333333337</v>
      </c>
      <c r="F35" s="222">
        <f>+SUM(C35:C37)</f>
        <v>43750</v>
      </c>
    </row>
    <row r="36" spans="1:6" x14ac:dyDescent="0.2">
      <c r="A36" s="70">
        <v>8</v>
      </c>
      <c r="B36" s="71">
        <f t="shared" si="0"/>
        <v>35000000</v>
      </c>
      <c r="C36" s="162">
        <f t="shared" si="3"/>
        <v>14583.333333333334</v>
      </c>
      <c r="D36" s="71">
        <f t="shared" si="1"/>
        <v>0</v>
      </c>
      <c r="E36" s="167">
        <f t="shared" si="2"/>
        <v>0.66666666666666663</v>
      </c>
      <c r="F36" s="223"/>
    </row>
    <row r="37" spans="1:6" ht="13.5" thickBot="1" x14ac:dyDescent="0.25">
      <c r="A37" s="70">
        <v>9</v>
      </c>
      <c r="B37" s="71">
        <f t="shared" si="0"/>
        <v>35000000</v>
      </c>
      <c r="C37" s="162">
        <f t="shared" si="3"/>
        <v>14583.333333333334</v>
      </c>
      <c r="D37" s="71">
        <f t="shared" si="1"/>
        <v>2500000</v>
      </c>
      <c r="E37" s="164">
        <f t="shared" si="2"/>
        <v>0.75</v>
      </c>
      <c r="F37" s="224"/>
    </row>
    <row r="38" spans="1:6" x14ac:dyDescent="0.2">
      <c r="A38" s="70">
        <v>10</v>
      </c>
      <c r="B38" s="71">
        <f t="shared" si="0"/>
        <v>32500000</v>
      </c>
      <c r="C38" s="162">
        <f t="shared" si="3"/>
        <v>13541.666666666666</v>
      </c>
      <c r="D38" s="71">
        <f t="shared" si="1"/>
        <v>0</v>
      </c>
      <c r="E38" s="166">
        <f t="shared" si="2"/>
        <v>0.83333333333333337</v>
      </c>
      <c r="F38" s="222">
        <f>+SUM(C38:C40)</f>
        <v>40625</v>
      </c>
    </row>
    <row r="39" spans="1:6" x14ac:dyDescent="0.2">
      <c r="A39" s="70">
        <v>11</v>
      </c>
      <c r="B39" s="71">
        <f t="shared" si="0"/>
        <v>32500000</v>
      </c>
      <c r="C39" s="162">
        <f t="shared" si="3"/>
        <v>13541.666666666666</v>
      </c>
      <c r="D39" s="71">
        <f t="shared" si="1"/>
        <v>0</v>
      </c>
      <c r="E39" s="167">
        <f t="shared" si="2"/>
        <v>0.91666666666666663</v>
      </c>
      <c r="F39" s="223"/>
    </row>
    <row r="40" spans="1:6" ht="13.5" thickBot="1" x14ac:dyDescent="0.25">
      <c r="A40" s="70">
        <v>12</v>
      </c>
      <c r="B40" s="71">
        <f t="shared" si="0"/>
        <v>32500000</v>
      </c>
      <c r="C40" s="162">
        <f t="shared" si="3"/>
        <v>13541.666666666666</v>
      </c>
      <c r="D40" s="71">
        <f t="shared" si="1"/>
        <v>2500000</v>
      </c>
      <c r="E40" s="164">
        <f t="shared" si="2"/>
        <v>1</v>
      </c>
      <c r="F40" s="224"/>
    </row>
    <row r="41" spans="1:6" x14ac:dyDescent="0.2">
      <c r="A41" s="70">
        <v>13</v>
      </c>
      <c r="B41" s="71">
        <f t="shared" si="0"/>
        <v>30000000</v>
      </c>
      <c r="C41" s="162">
        <f t="shared" si="3"/>
        <v>12500</v>
      </c>
      <c r="D41" s="71">
        <f t="shared" si="1"/>
        <v>0</v>
      </c>
      <c r="E41" s="166">
        <f t="shared" si="2"/>
        <v>1.0833333333333333</v>
      </c>
      <c r="F41" s="222">
        <f>+SUM(C41:C46)</f>
        <v>71875</v>
      </c>
    </row>
    <row r="42" spans="1:6" x14ac:dyDescent="0.2">
      <c r="A42" s="70">
        <v>14</v>
      </c>
      <c r="B42" s="71">
        <f t="shared" si="0"/>
        <v>30000000</v>
      </c>
      <c r="C42" s="162">
        <f t="shared" si="3"/>
        <v>12500</v>
      </c>
      <c r="D42" s="71">
        <f t="shared" si="1"/>
        <v>0</v>
      </c>
      <c r="E42" s="167">
        <f t="shared" si="2"/>
        <v>1.1666666666666667</v>
      </c>
      <c r="F42" s="223"/>
    </row>
    <row r="43" spans="1:6" x14ac:dyDescent="0.2">
      <c r="A43" s="70">
        <v>15</v>
      </c>
      <c r="B43" s="71">
        <f t="shared" si="0"/>
        <v>30000000</v>
      </c>
      <c r="C43" s="162">
        <f t="shared" si="3"/>
        <v>12500</v>
      </c>
      <c r="D43" s="71">
        <f t="shared" si="1"/>
        <v>2500000</v>
      </c>
      <c r="E43" s="167">
        <f t="shared" si="2"/>
        <v>1.25</v>
      </c>
      <c r="F43" s="223"/>
    </row>
    <row r="44" spans="1:6" x14ac:dyDescent="0.2">
      <c r="A44" s="70">
        <v>16</v>
      </c>
      <c r="B44" s="71">
        <f t="shared" si="0"/>
        <v>27500000</v>
      </c>
      <c r="C44" s="162">
        <f t="shared" si="3"/>
        <v>11458.333333333334</v>
      </c>
      <c r="D44" s="71">
        <f t="shared" si="1"/>
        <v>0</v>
      </c>
      <c r="E44" s="167">
        <f t="shared" si="2"/>
        <v>1.3333333333333333</v>
      </c>
      <c r="F44" s="223"/>
    </row>
    <row r="45" spans="1:6" x14ac:dyDescent="0.2">
      <c r="A45" s="70">
        <v>17</v>
      </c>
      <c r="B45" s="71">
        <f t="shared" si="0"/>
        <v>27500000</v>
      </c>
      <c r="C45" s="162">
        <f t="shared" si="3"/>
        <v>11458.333333333334</v>
      </c>
      <c r="D45" s="71">
        <f t="shared" si="1"/>
        <v>0</v>
      </c>
      <c r="E45" s="167">
        <f t="shared" si="2"/>
        <v>1.4166666666666667</v>
      </c>
      <c r="F45" s="223"/>
    </row>
    <row r="46" spans="1:6" ht="13.5" thickBot="1" x14ac:dyDescent="0.25">
      <c r="A46" s="70">
        <v>18</v>
      </c>
      <c r="B46" s="71">
        <f t="shared" si="0"/>
        <v>27500000</v>
      </c>
      <c r="C46" s="162">
        <f t="shared" si="3"/>
        <v>11458.333333333334</v>
      </c>
      <c r="D46" s="71">
        <f t="shared" si="1"/>
        <v>2500000</v>
      </c>
      <c r="E46" s="164">
        <f t="shared" si="2"/>
        <v>1.5</v>
      </c>
      <c r="F46" s="224"/>
    </row>
    <row r="47" spans="1:6" x14ac:dyDescent="0.2">
      <c r="A47" s="70">
        <v>19</v>
      </c>
      <c r="B47" s="71">
        <f t="shared" si="0"/>
        <v>25000000</v>
      </c>
      <c r="C47" s="162">
        <f t="shared" si="3"/>
        <v>10416.666666666666</v>
      </c>
      <c r="D47" s="71">
        <f t="shared" si="1"/>
        <v>0</v>
      </c>
      <c r="E47" s="166">
        <f t="shared" si="2"/>
        <v>1.5833333333333333</v>
      </c>
      <c r="F47" s="222">
        <f>+SUM(C47:C52)</f>
        <v>59375</v>
      </c>
    </row>
    <row r="48" spans="1:6" x14ac:dyDescent="0.2">
      <c r="A48" s="70">
        <v>20</v>
      </c>
      <c r="B48" s="71">
        <f t="shared" si="0"/>
        <v>25000000</v>
      </c>
      <c r="C48" s="162">
        <f t="shared" si="3"/>
        <v>10416.666666666666</v>
      </c>
      <c r="D48" s="71">
        <f t="shared" si="1"/>
        <v>0</v>
      </c>
      <c r="E48" s="167">
        <f t="shared" si="2"/>
        <v>1.6666666666666667</v>
      </c>
      <c r="F48" s="223"/>
    </row>
    <row r="49" spans="1:6" x14ac:dyDescent="0.2">
      <c r="A49" s="70">
        <v>21</v>
      </c>
      <c r="B49" s="71">
        <f t="shared" si="0"/>
        <v>25000000</v>
      </c>
      <c r="C49" s="162">
        <f t="shared" si="3"/>
        <v>10416.666666666666</v>
      </c>
      <c r="D49" s="71">
        <f t="shared" si="1"/>
        <v>2500000</v>
      </c>
      <c r="E49" s="167">
        <f t="shared" si="2"/>
        <v>1.75</v>
      </c>
      <c r="F49" s="223"/>
    </row>
    <row r="50" spans="1:6" x14ac:dyDescent="0.2">
      <c r="A50" s="70">
        <v>22</v>
      </c>
      <c r="B50" s="71">
        <f t="shared" si="0"/>
        <v>22500000</v>
      </c>
      <c r="C50" s="162">
        <f t="shared" si="3"/>
        <v>9375</v>
      </c>
      <c r="D50" s="71">
        <f t="shared" si="1"/>
        <v>0</v>
      </c>
      <c r="E50" s="167">
        <f t="shared" si="2"/>
        <v>1.8333333333333333</v>
      </c>
      <c r="F50" s="223"/>
    </row>
    <row r="51" spans="1:6" x14ac:dyDescent="0.2">
      <c r="A51" s="70">
        <v>23</v>
      </c>
      <c r="B51" s="71">
        <f t="shared" si="0"/>
        <v>22500000</v>
      </c>
      <c r="C51" s="162">
        <f t="shared" si="3"/>
        <v>9375</v>
      </c>
      <c r="D51" s="71">
        <f t="shared" si="1"/>
        <v>0</v>
      </c>
      <c r="E51" s="167">
        <f t="shared" si="2"/>
        <v>1.9166666666666667</v>
      </c>
      <c r="F51" s="223"/>
    </row>
    <row r="52" spans="1:6" ht="13.5" thickBot="1" x14ac:dyDescent="0.25">
      <c r="A52" s="70">
        <v>24</v>
      </c>
      <c r="B52" s="71">
        <f t="shared" si="0"/>
        <v>22500000</v>
      </c>
      <c r="C52" s="162">
        <f t="shared" si="3"/>
        <v>9375</v>
      </c>
      <c r="D52" s="71">
        <f t="shared" si="1"/>
        <v>2500000</v>
      </c>
      <c r="E52" s="164">
        <f t="shared" si="2"/>
        <v>2</v>
      </c>
      <c r="F52" s="224"/>
    </row>
    <row r="53" spans="1:6" x14ac:dyDescent="0.2">
      <c r="A53" s="70">
        <v>25</v>
      </c>
      <c r="B53" s="71">
        <f t="shared" si="0"/>
        <v>20000000</v>
      </c>
      <c r="C53" s="162">
        <f t="shared" si="3"/>
        <v>8333.3333333333339</v>
      </c>
      <c r="D53" s="71">
        <f t="shared" si="1"/>
        <v>0</v>
      </c>
      <c r="E53" s="166">
        <f t="shared" si="2"/>
        <v>2.0833333333333335</v>
      </c>
      <c r="F53" s="222">
        <f>+SUM(C53:C64)</f>
        <v>81249.999999999985</v>
      </c>
    </row>
    <row r="54" spans="1:6" x14ac:dyDescent="0.2">
      <c r="A54" s="70">
        <v>26</v>
      </c>
      <c r="B54" s="71">
        <f t="shared" si="0"/>
        <v>20000000</v>
      </c>
      <c r="C54" s="162">
        <f t="shared" si="3"/>
        <v>8333.3333333333339</v>
      </c>
      <c r="D54" s="71">
        <f t="shared" si="1"/>
        <v>0</v>
      </c>
      <c r="E54" s="167">
        <f t="shared" si="2"/>
        <v>2.1666666666666665</v>
      </c>
      <c r="F54" s="223"/>
    </row>
    <row r="55" spans="1:6" x14ac:dyDescent="0.2">
      <c r="A55" s="70">
        <v>27</v>
      </c>
      <c r="B55" s="71">
        <f t="shared" si="0"/>
        <v>20000000</v>
      </c>
      <c r="C55" s="162">
        <f t="shared" si="3"/>
        <v>8333.3333333333339</v>
      </c>
      <c r="D55" s="71">
        <f t="shared" si="1"/>
        <v>2500000</v>
      </c>
      <c r="E55" s="167">
        <f t="shared" si="2"/>
        <v>2.25</v>
      </c>
      <c r="F55" s="223"/>
    </row>
    <row r="56" spans="1:6" x14ac:dyDescent="0.2">
      <c r="A56" s="70">
        <v>28</v>
      </c>
      <c r="B56" s="71">
        <f t="shared" si="0"/>
        <v>17500000</v>
      </c>
      <c r="C56" s="162">
        <f t="shared" si="3"/>
        <v>7291.666666666667</v>
      </c>
      <c r="D56" s="71">
        <f t="shared" si="1"/>
        <v>0</v>
      </c>
      <c r="E56" s="167">
        <f t="shared" si="2"/>
        <v>2.3333333333333335</v>
      </c>
      <c r="F56" s="223"/>
    </row>
    <row r="57" spans="1:6" x14ac:dyDescent="0.2">
      <c r="A57" s="70">
        <v>29</v>
      </c>
      <c r="B57" s="71">
        <f t="shared" si="0"/>
        <v>17500000</v>
      </c>
      <c r="C57" s="162">
        <f t="shared" si="3"/>
        <v>7291.666666666667</v>
      </c>
      <c r="D57" s="71">
        <f t="shared" si="1"/>
        <v>0</v>
      </c>
      <c r="E57" s="167">
        <f t="shared" si="2"/>
        <v>2.4166666666666665</v>
      </c>
      <c r="F57" s="223"/>
    </row>
    <row r="58" spans="1:6" x14ac:dyDescent="0.2">
      <c r="A58" s="70">
        <v>30</v>
      </c>
      <c r="B58" s="71">
        <f t="shared" si="0"/>
        <v>17500000</v>
      </c>
      <c r="C58" s="162">
        <f t="shared" si="3"/>
        <v>7291.666666666667</v>
      </c>
      <c r="D58" s="71">
        <f t="shared" si="1"/>
        <v>2500000</v>
      </c>
      <c r="E58" s="167">
        <f t="shared" si="2"/>
        <v>2.5</v>
      </c>
      <c r="F58" s="223"/>
    </row>
    <row r="59" spans="1:6" x14ac:dyDescent="0.2">
      <c r="A59" s="70">
        <v>31</v>
      </c>
      <c r="B59" s="71">
        <f t="shared" si="0"/>
        <v>15000000</v>
      </c>
      <c r="C59" s="162">
        <f t="shared" si="3"/>
        <v>6250</v>
      </c>
      <c r="D59" s="71">
        <f t="shared" si="1"/>
        <v>0</v>
      </c>
      <c r="E59" s="167">
        <f t="shared" si="2"/>
        <v>2.5833333333333335</v>
      </c>
      <c r="F59" s="223"/>
    </row>
    <row r="60" spans="1:6" x14ac:dyDescent="0.2">
      <c r="A60" s="70">
        <v>32</v>
      </c>
      <c r="B60" s="71">
        <f t="shared" si="0"/>
        <v>15000000</v>
      </c>
      <c r="C60" s="162">
        <f t="shared" si="3"/>
        <v>6250</v>
      </c>
      <c r="D60" s="71">
        <f t="shared" si="1"/>
        <v>0</v>
      </c>
      <c r="E60" s="167">
        <f t="shared" si="2"/>
        <v>2.6666666666666665</v>
      </c>
      <c r="F60" s="223"/>
    </row>
    <row r="61" spans="1:6" x14ac:dyDescent="0.2">
      <c r="A61" s="70">
        <v>33</v>
      </c>
      <c r="B61" s="71">
        <f t="shared" si="0"/>
        <v>15000000</v>
      </c>
      <c r="C61" s="162">
        <f t="shared" si="3"/>
        <v>6250</v>
      </c>
      <c r="D61" s="71">
        <f t="shared" si="1"/>
        <v>2500000</v>
      </c>
      <c r="E61" s="167">
        <f t="shared" si="2"/>
        <v>2.75</v>
      </c>
      <c r="F61" s="223"/>
    </row>
    <row r="62" spans="1:6" x14ac:dyDescent="0.2">
      <c r="A62" s="70">
        <v>34</v>
      </c>
      <c r="B62" s="71">
        <f t="shared" si="0"/>
        <v>12500000</v>
      </c>
      <c r="C62" s="162">
        <f t="shared" si="3"/>
        <v>5208.333333333333</v>
      </c>
      <c r="D62" s="71">
        <f t="shared" si="1"/>
        <v>0</v>
      </c>
      <c r="E62" s="167">
        <f t="shared" si="2"/>
        <v>2.8333333333333335</v>
      </c>
      <c r="F62" s="223"/>
    </row>
    <row r="63" spans="1:6" x14ac:dyDescent="0.2">
      <c r="A63" s="70">
        <v>35</v>
      </c>
      <c r="B63" s="71">
        <f t="shared" si="0"/>
        <v>12500000</v>
      </c>
      <c r="C63" s="162">
        <f t="shared" si="3"/>
        <v>5208.333333333333</v>
      </c>
      <c r="D63" s="71">
        <f t="shared" si="1"/>
        <v>0</v>
      </c>
      <c r="E63" s="167">
        <f t="shared" si="2"/>
        <v>2.9166666666666665</v>
      </c>
      <c r="F63" s="223"/>
    </row>
    <row r="64" spans="1:6" ht="13.5" thickBot="1" x14ac:dyDescent="0.25">
      <c r="A64" s="70">
        <v>36</v>
      </c>
      <c r="B64" s="71">
        <f t="shared" si="0"/>
        <v>12500000</v>
      </c>
      <c r="C64" s="162">
        <f t="shared" si="3"/>
        <v>5208.333333333333</v>
      </c>
      <c r="D64" s="71">
        <f t="shared" si="1"/>
        <v>2500000</v>
      </c>
      <c r="E64" s="164">
        <f t="shared" si="2"/>
        <v>3</v>
      </c>
      <c r="F64" s="224"/>
    </row>
    <row r="65" spans="1:6" x14ac:dyDescent="0.2">
      <c r="A65" s="70">
        <v>37</v>
      </c>
      <c r="B65" s="71">
        <f t="shared" si="0"/>
        <v>10000000</v>
      </c>
      <c r="C65" s="162">
        <f t="shared" si="3"/>
        <v>4166.666666666667</v>
      </c>
      <c r="D65" s="71">
        <f t="shared" si="1"/>
        <v>0</v>
      </c>
      <c r="E65" s="167">
        <f t="shared" si="2"/>
        <v>3.0833333333333335</v>
      </c>
      <c r="F65" s="222">
        <f>+SUM(C65:C76)</f>
        <v>31250</v>
      </c>
    </row>
    <row r="66" spans="1:6" x14ac:dyDescent="0.2">
      <c r="A66" s="70">
        <v>38</v>
      </c>
      <c r="B66" s="71">
        <f t="shared" si="0"/>
        <v>10000000</v>
      </c>
      <c r="C66" s="162">
        <f t="shared" si="3"/>
        <v>4166.666666666667</v>
      </c>
      <c r="D66" s="71">
        <f t="shared" si="1"/>
        <v>0</v>
      </c>
      <c r="E66" s="167">
        <f t="shared" si="2"/>
        <v>3.1666666666666665</v>
      </c>
      <c r="F66" s="223"/>
    </row>
    <row r="67" spans="1:6" x14ac:dyDescent="0.2">
      <c r="A67" s="70">
        <v>39</v>
      </c>
      <c r="B67" s="71">
        <f t="shared" si="0"/>
        <v>10000000</v>
      </c>
      <c r="C67" s="162">
        <f t="shared" si="3"/>
        <v>4166.666666666667</v>
      </c>
      <c r="D67" s="71">
        <f t="shared" si="1"/>
        <v>2500000</v>
      </c>
      <c r="E67" s="167">
        <f t="shared" si="2"/>
        <v>3.25</v>
      </c>
      <c r="F67" s="223"/>
    </row>
    <row r="68" spans="1:6" x14ac:dyDescent="0.2">
      <c r="A68" s="70">
        <v>40</v>
      </c>
      <c r="B68" s="71">
        <f t="shared" si="0"/>
        <v>7500000</v>
      </c>
      <c r="C68" s="162">
        <f t="shared" si="3"/>
        <v>3125</v>
      </c>
      <c r="D68" s="71">
        <f t="shared" si="1"/>
        <v>0</v>
      </c>
      <c r="E68" s="167">
        <f t="shared" si="2"/>
        <v>3.3333333333333335</v>
      </c>
      <c r="F68" s="223"/>
    </row>
    <row r="69" spans="1:6" x14ac:dyDescent="0.2">
      <c r="A69" s="70">
        <v>41</v>
      </c>
      <c r="B69" s="71">
        <f t="shared" si="0"/>
        <v>7500000</v>
      </c>
      <c r="C69" s="162">
        <f t="shared" si="3"/>
        <v>3125</v>
      </c>
      <c r="D69" s="71">
        <f t="shared" si="1"/>
        <v>0</v>
      </c>
      <c r="E69" s="167">
        <f t="shared" si="2"/>
        <v>3.4166666666666665</v>
      </c>
      <c r="F69" s="223"/>
    </row>
    <row r="70" spans="1:6" x14ac:dyDescent="0.2">
      <c r="A70" s="70">
        <v>42</v>
      </c>
      <c r="B70" s="71">
        <f t="shared" si="0"/>
        <v>7500000</v>
      </c>
      <c r="C70" s="162">
        <f t="shared" si="3"/>
        <v>3125</v>
      </c>
      <c r="D70" s="71">
        <f t="shared" si="1"/>
        <v>2500000</v>
      </c>
      <c r="E70" s="167">
        <f t="shared" si="2"/>
        <v>3.5</v>
      </c>
      <c r="F70" s="223"/>
    </row>
    <row r="71" spans="1:6" x14ac:dyDescent="0.2">
      <c r="A71" s="70">
        <v>43</v>
      </c>
      <c r="B71" s="71">
        <f t="shared" si="0"/>
        <v>5000000</v>
      </c>
      <c r="C71" s="162">
        <f t="shared" si="3"/>
        <v>2083.3333333333335</v>
      </c>
      <c r="D71" s="71">
        <f t="shared" si="1"/>
        <v>0</v>
      </c>
      <c r="E71" s="167">
        <f t="shared" si="2"/>
        <v>3.5833333333333335</v>
      </c>
      <c r="F71" s="223"/>
    </row>
    <row r="72" spans="1:6" x14ac:dyDescent="0.2">
      <c r="A72" s="70">
        <v>44</v>
      </c>
      <c r="B72" s="71">
        <f t="shared" si="0"/>
        <v>5000000</v>
      </c>
      <c r="C72" s="162">
        <f t="shared" si="3"/>
        <v>2083.3333333333335</v>
      </c>
      <c r="D72" s="71">
        <f t="shared" si="1"/>
        <v>0</v>
      </c>
      <c r="E72" s="167">
        <f t="shared" si="2"/>
        <v>3.6666666666666665</v>
      </c>
      <c r="F72" s="223"/>
    </row>
    <row r="73" spans="1:6" x14ac:dyDescent="0.2">
      <c r="A73" s="70">
        <v>45</v>
      </c>
      <c r="B73" s="71">
        <f t="shared" si="0"/>
        <v>5000000</v>
      </c>
      <c r="C73" s="162">
        <f t="shared" si="3"/>
        <v>2083.3333333333335</v>
      </c>
      <c r="D73" s="71">
        <f t="shared" si="1"/>
        <v>2500000</v>
      </c>
      <c r="E73" s="167">
        <f t="shared" si="2"/>
        <v>3.75</v>
      </c>
      <c r="F73" s="223"/>
    </row>
    <row r="74" spans="1:6" x14ac:dyDescent="0.2">
      <c r="A74" s="70">
        <v>46</v>
      </c>
      <c r="B74" s="71">
        <f t="shared" si="0"/>
        <v>2500000</v>
      </c>
      <c r="C74" s="162">
        <f t="shared" si="3"/>
        <v>1041.6666666666667</v>
      </c>
      <c r="D74" s="71">
        <f t="shared" si="1"/>
        <v>0</v>
      </c>
      <c r="E74" s="167">
        <f t="shared" si="2"/>
        <v>3.8333333333333335</v>
      </c>
      <c r="F74" s="223"/>
    </row>
    <row r="75" spans="1:6" x14ac:dyDescent="0.2">
      <c r="A75" s="70">
        <v>47</v>
      </c>
      <c r="B75" s="71">
        <f t="shared" si="0"/>
        <v>2500000</v>
      </c>
      <c r="C75" s="162">
        <f t="shared" si="3"/>
        <v>1041.6666666666667</v>
      </c>
      <c r="D75" s="71">
        <f t="shared" si="1"/>
        <v>0</v>
      </c>
      <c r="E75" s="167">
        <f t="shared" si="2"/>
        <v>3.9166666666666665</v>
      </c>
      <c r="F75" s="223"/>
    </row>
    <row r="76" spans="1:6" ht="13.5" thickBot="1" x14ac:dyDescent="0.25">
      <c r="A76" s="70">
        <v>48</v>
      </c>
      <c r="B76" s="71">
        <f t="shared" si="0"/>
        <v>2500000</v>
      </c>
      <c r="C76" s="162">
        <f t="shared" si="3"/>
        <v>1041.6666666666667</v>
      </c>
      <c r="D76" s="71">
        <f t="shared" si="1"/>
        <v>2500000</v>
      </c>
      <c r="E76" s="164">
        <f t="shared" si="2"/>
        <v>4</v>
      </c>
      <c r="F76" s="224"/>
    </row>
  </sheetData>
  <mergeCells count="10">
    <mergeCell ref="F41:F46"/>
    <mergeCell ref="F47:F52"/>
    <mergeCell ref="A25:B25"/>
    <mergeCell ref="A27:D27"/>
    <mergeCell ref="F65:F76"/>
    <mergeCell ref="F53:F64"/>
    <mergeCell ref="F30:F31"/>
    <mergeCell ref="F32:F34"/>
    <mergeCell ref="F35:F37"/>
    <mergeCell ref="F38:F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T155"/>
  <sheetViews>
    <sheetView zoomScale="85" zoomScaleNormal="85" workbookViewId="0">
      <selection activeCell="F2" sqref="F2:G2"/>
    </sheetView>
  </sheetViews>
  <sheetFormatPr defaultRowHeight="12.75" x14ac:dyDescent="0.2"/>
  <cols>
    <col min="1" max="1" width="21" customWidth="1"/>
    <col min="2" max="2" width="20.7109375" bestFit="1" customWidth="1"/>
    <col min="3" max="3" width="18.140625" bestFit="1" customWidth="1"/>
    <col min="4" max="4" width="13" bestFit="1" customWidth="1"/>
    <col min="5" max="5" width="14.5703125" bestFit="1" customWidth="1"/>
    <col min="6" max="7" width="14.5703125" customWidth="1"/>
    <col min="8" max="8" width="16.85546875" customWidth="1"/>
    <col min="9" max="9" width="20.7109375" bestFit="1" customWidth="1"/>
    <col min="10" max="10" width="25.28515625" bestFit="1" customWidth="1"/>
    <col min="11" max="12" width="17.28515625" bestFit="1" customWidth="1"/>
    <col min="13" max="13" width="16.28515625" bestFit="1" customWidth="1"/>
    <col min="14" max="14" width="12" bestFit="1" customWidth="1"/>
    <col min="15" max="15" width="13.85546875" bestFit="1" customWidth="1"/>
    <col min="16" max="16" width="7.7109375" bestFit="1" customWidth="1"/>
    <col min="17" max="20" width="16.28515625" bestFit="1" customWidth="1"/>
  </cols>
  <sheetData>
    <row r="1" spans="1:16" ht="80.25" customHeight="1" thickBot="1" x14ac:dyDescent="0.25"/>
    <row r="2" spans="1:16" ht="52.5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6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6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6" ht="13.5" thickTop="1" x14ac:dyDescent="0.2">
      <c r="A5" s="51" t="s">
        <v>36</v>
      </c>
      <c r="B5" s="39" t="s">
        <v>57</v>
      </c>
      <c r="C5" s="52" t="s">
        <v>58</v>
      </c>
      <c r="D5" s="52" t="s">
        <v>60</v>
      </c>
      <c r="E5" s="41" t="s">
        <v>74</v>
      </c>
      <c r="F5" s="206" t="s">
        <v>143</v>
      </c>
      <c r="G5" s="207" t="s">
        <v>144</v>
      </c>
      <c r="H5" s="96"/>
      <c r="I5" s="96">
        <f>+G36</f>
        <v>333333.33333333337</v>
      </c>
      <c r="J5" s="96"/>
      <c r="K5" s="97"/>
    </row>
    <row r="6" spans="1:16" x14ac:dyDescent="0.2">
      <c r="A6" s="51" t="s">
        <v>36</v>
      </c>
      <c r="B6" s="39" t="s">
        <v>57</v>
      </c>
      <c r="C6" s="52" t="s">
        <v>58</v>
      </c>
      <c r="D6" s="52" t="s">
        <v>60</v>
      </c>
      <c r="E6" s="41" t="s">
        <v>61</v>
      </c>
      <c r="F6" s="206" t="s">
        <v>143</v>
      </c>
      <c r="G6" s="207" t="s">
        <v>144</v>
      </c>
      <c r="H6" s="96"/>
      <c r="I6" s="96">
        <f>+G37</f>
        <v>659867.9404274195</v>
      </c>
      <c r="J6" s="96"/>
      <c r="K6" s="97"/>
      <c r="O6" s="47"/>
    </row>
    <row r="7" spans="1:16" x14ac:dyDescent="0.2">
      <c r="A7" s="51" t="s">
        <v>36</v>
      </c>
      <c r="B7" s="39" t="s">
        <v>57</v>
      </c>
      <c r="C7" s="52" t="s">
        <v>58</v>
      </c>
      <c r="D7" s="52" t="s">
        <v>60</v>
      </c>
      <c r="E7" s="41" t="s">
        <v>62</v>
      </c>
      <c r="F7" s="206" t="s">
        <v>143</v>
      </c>
      <c r="G7" s="207" t="s">
        <v>144</v>
      </c>
      <c r="H7" s="96"/>
      <c r="I7" s="96">
        <f>+G39</f>
        <v>972691.53091049078</v>
      </c>
      <c r="J7" s="96"/>
      <c r="K7" s="97"/>
    </row>
    <row r="8" spans="1:16" x14ac:dyDescent="0.2">
      <c r="A8" s="51" t="s">
        <v>36</v>
      </c>
      <c r="B8" s="39" t="s">
        <v>57</v>
      </c>
      <c r="C8" s="52" t="s">
        <v>58</v>
      </c>
      <c r="D8" s="52" t="s">
        <v>60</v>
      </c>
      <c r="E8" s="41" t="s">
        <v>63</v>
      </c>
      <c r="F8" s="206" t="s">
        <v>143</v>
      </c>
      <c r="G8" s="207" t="s">
        <v>144</v>
      </c>
      <c r="H8" s="96"/>
      <c r="I8" s="96">
        <f>+G42</f>
        <v>951976.00621401099</v>
      </c>
      <c r="J8" s="96"/>
      <c r="K8" s="97"/>
    </row>
    <row r="9" spans="1:16" x14ac:dyDescent="0.2">
      <c r="A9" s="51" t="s">
        <v>36</v>
      </c>
      <c r="B9" s="39" t="s">
        <v>57</v>
      </c>
      <c r="C9" s="52" t="s">
        <v>58</v>
      </c>
      <c r="D9" s="52" t="s">
        <v>60</v>
      </c>
      <c r="E9" s="41" t="s">
        <v>64</v>
      </c>
      <c r="F9" s="206" t="s">
        <v>143</v>
      </c>
      <c r="G9" s="207" t="s">
        <v>144</v>
      </c>
      <c r="H9" s="96"/>
      <c r="I9" s="96">
        <f>+G45</f>
        <v>931052.63498583506</v>
      </c>
      <c r="J9" s="96"/>
      <c r="K9" s="97"/>
    </row>
    <row r="10" spans="1:16" x14ac:dyDescent="0.2">
      <c r="A10" s="51" t="s">
        <v>36</v>
      </c>
      <c r="B10" s="39" t="s">
        <v>57</v>
      </c>
      <c r="C10" s="52" t="s">
        <v>58</v>
      </c>
      <c r="D10" s="52" t="s">
        <v>60</v>
      </c>
      <c r="E10" s="41" t="s">
        <v>65</v>
      </c>
      <c r="F10" s="206" t="s">
        <v>143</v>
      </c>
      <c r="G10" s="207" t="s">
        <v>144</v>
      </c>
      <c r="H10" s="96"/>
      <c r="I10" s="96">
        <f>+G48</f>
        <v>1798493.3222305898</v>
      </c>
      <c r="J10" s="96"/>
      <c r="K10" s="97"/>
    </row>
    <row r="11" spans="1:16" x14ac:dyDescent="0.2">
      <c r="A11" s="51" t="s">
        <v>36</v>
      </c>
      <c r="B11" s="39" t="s">
        <v>57</v>
      </c>
      <c r="C11" s="52" t="s">
        <v>58</v>
      </c>
      <c r="D11" s="52" t="s">
        <v>60</v>
      </c>
      <c r="E11" s="41" t="s">
        <v>66</v>
      </c>
      <c r="F11" s="206" t="s">
        <v>143</v>
      </c>
      <c r="G11" s="207" t="s">
        <v>144</v>
      </c>
      <c r="H11" s="96"/>
      <c r="I11" s="96">
        <f>+G54</f>
        <v>1712253.1448866096</v>
      </c>
      <c r="J11" s="96"/>
      <c r="K11" s="97"/>
    </row>
    <row r="12" spans="1:16" x14ac:dyDescent="0.2">
      <c r="A12" s="51" t="s">
        <v>36</v>
      </c>
      <c r="B12" s="39" t="s">
        <v>57</v>
      </c>
      <c r="C12" s="52" t="s">
        <v>58</v>
      </c>
      <c r="D12" s="52" t="s">
        <v>60</v>
      </c>
      <c r="E12" s="41" t="s">
        <v>67</v>
      </c>
      <c r="F12" s="206" t="s">
        <v>143</v>
      </c>
      <c r="G12" s="207" t="s">
        <v>144</v>
      </c>
      <c r="H12" s="96"/>
      <c r="I12" s="96">
        <f>+G60</f>
        <v>3158793.7179520093</v>
      </c>
      <c r="J12" s="96"/>
      <c r="K12" s="97"/>
    </row>
    <row r="13" spans="1:16" x14ac:dyDescent="0.2">
      <c r="A13" s="51" t="s">
        <v>36</v>
      </c>
      <c r="B13" s="39" t="s">
        <v>57</v>
      </c>
      <c r="C13" s="52" t="s">
        <v>58</v>
      </c>
      <c r="D13" s="52" t="s">
        <v>60</v>
      </c>
      <c r="E13" s="41" t="s">
        <v>68</v>
      </c>
      <c r="F13" s="206" t="s">
        <v>143</v>
      </c>
      <c r="G13" s="207" t="s">
        <v>144</v>
      </c>
      <c r="H13" s="96"/>
      <c r="I13" s="96">
        <f>+G72</f>
        <v>2792501.8707509669</v>
      </c>
      <c r="J13" s="96"/>
      <c r="K13" s="97"/>
      <c r="O13" s="47"/>
      <c r="P13" s="100"/>
    </row>
    <row r="14" spans="1:16" x14ac:dyDescent="0.2">
      <c r="A14" s="51" t="s">
        <v>36</v>
      </c>
      <c r="B14" s="39" t="s">
        <v>57</v>
      </c>
      <c r="C14" s="52" t="s">
        <v>58</v>
      </c>
      <c r="D14" s="52" t="s">
        <v>60</v>
      </c>
      <c r="E14" s="41" t="s">
        <v>107</v>
      </c>
      <c r="F14" s="206" t="s">
        <v>143</v>
      </c>
      <c r="G14" s="207" t="s">
        <v>144</v>
      </c>
      <c r="H14" s="96"/>
      <c r="I14" s="96">
        <f>+G84</f>
        <v>2411286.7285360135</v>
      </c>
      <c r="J14" s="96"/>
      <c r="K14" s="97"/>
      <c r="O14" s="47"/>
      <c r="P14" s="49"/>
    </row>
    <row r="15" spans="1:16" x14ac:dyDescent="0.2">
      <c r="A15" s="51" t="s">
        <v>36</v>
      </c>
      <c r="B15" s="39" t="s">
        <v>57</v>
      </c>
      <c r="C15" s="52" t="s">
        <v>58</v>
      </c>
      <c r="D15" s="52" t="s">
        <v>59</v>
      </c>
      <c r="E15" s="41" t="s">
        <v>74</v>
      </c>
      <c r="F15" s="206" t="s">
        <v>143</v>
      </c>
      <c r="G15" s="207" t="s">
        <v>144</v>
      </c>
      <c r="H15" s="96"/>
      <c r="I15" s="96">
        <f>+H36</f>
        <v>679118.04831548152</v>
      </c>
      <c r="J15" s="96"/>
      <c r="K15" s="97"/>
      <c r="O15" s="47"/>
      <c r="P15" s="49"/>
    </row>
    <row r="16" spans="1:16" x14ac:dyDescent="0.2">
      <c r="A16" s="51" t="s">
        <v>36</v>
      </c>
      <c r="B16" s="39" t="s">
        <v>57</v>
      </c>
      <c r="C16" s="52" t="s">
        <v>58</v>
      </c>
      <c r="D16" s="52" t="s">
        <v>59</v>
      </c>
      <c r="E16" s="41" t="s">
        <v>61</v>
      </c>
      <c r="F16" s="206" t="s">
        <v>143</v>
      </c>
      <c r="G16" s="207" t="s">
        <v>144</v>
      </c>
      <c r="H16" s="96"/>
      <c r="I16" s="96">
        <f>+H37</f>
        <v>1365034.8228702103</v>
      </c>
      <c r="J16" s="96"/>
      <c r="K16" s="97"/>
    </row>
    <row r="17" spans="1:20" x14ac:dyDescent="0.2">
      <c r="A17" s="51" t="s">
        <v>36</v>
      </c>
      <c r="B17" s="39" t="s">
        <v>57</v>
      </c>
      <c r="C17" s="52" t="s">
        <v>58</v>
      </c>
      <c r="D17" s="52" t="s">
        <v>59</v>
      </c>
      <c r="E17" s="41" t="s">
        <v>62</v>
      </c>
      <c r="F17" s="206" t="s">
        <v>143</v>
      </c>
      <c r="G17" s="207" t="s">
        <v>144</v>
      </c>
      <c r="H17" s="96"/>
      <c r="I17" s="96">
        <f>+H39</f>
        <v>2064662.6140359538</v>
      </c>
      <c r="J17" s="96"/>
      <c r="K17" s="97"/>
    </row>
    <row r="18" spans="1:20" x14ac:dyDescent="0.2">
      <c r="A18" s="51" t="s">
        <v>36</v>
      </c>
      <c r="B18" s="39" t="s">
        <v>57</v>
      </c>
      <c r="C18" s="52" t="s">
        <v>58</v>
      </c>
      <c r="D18" s="52" t="s">
        <v>59</v>
      </c>
      <c r="E18" s="41" t="s">
        <v>63</v>
      </c>
      <c r="F18" s="206" t="s">
        <v>143</v>
      </c>
      <c r="G18" s="207" t="s">
        <v>144</v>
      </c>
      <c r="H18" s="96"/>
      <c r="I18" s="96">
        <f>+H42</f>
        <v>2085378.1387324336</v>
      </c>
      <c r="J18" s="96"/>
      <c r="K18" s="97"/>
    </row>
    <row r="19" spans="1:20" x14ac:dyDescent="0.2">
      <c r="A19" s="51" t="s">
        <v>36</v>
      </c>
      <c r="B19" s="39" t="s">
        <v>57</v>
      </c>
      <c r="C19" s="52" t="s">
        <v>58</v>
      </c>
      <c r="D19" s="52" t="s">
        <v>59</v>
      </c>
      <c r="E19" s="41" t="s">
        <v>64</v>
      </c>
      <c r="F19" s="206" t="s">
        <v>143</v>
      </c>
      <c r="G19" s="207" t="s">
        <v>144</v>
      </c>
      <c r="H19" s="96"/>
      <c r="I19" s="96">
        <f>+H45</f>
        <v>2106301.5099606095</v>
      </c>
      <c r="J19" s="96"/>
      <c r="K19" s="97"/>
    </row>
    <row r="20" spans="1:20" x14ac:dyDescent="0.2">
      <c r="A20" s="51" t="s">
        <v>36</v>
      </c>
      <c r="B20" s="39" t="s">
        <v>57</v>
      </c>
      <c r="C20" s="52" t="s">
        <v>58</v>
      </c>
      <c r="D20" s="52" t="s">
        <v>59</v>
      </c>
      <c r="E20" s="41" t="s">
        <v>65</v>
      </c>
      <c r="F20" s="206" t="s">
        <v>143</v>
      </c>
      <c r="G20" s="207" t="s">
        <v>144</v>
      </c>
      <c r="H20" s="96"/>
      <c r="I20" s="96">
        <f>+H48</f>
        <v>4276214.9676622991</v>
      </c>
      <c r="J20" s="96"/>
      <c r="K20" s="97"/>
    </row>
    <row r="21" spans="1:20" x14ac:dyDescent="0.2">
      <c r="A21" s="51" t="s">
        <v>36</v>
      </c>
      <c r="B21" s="39" t="s">
        <v>57</v>
      </c>
      <c r="C21" s="52" t="s">
        <v>58</v>
      </c>
      <c r="D21" s="52" t="s">
        <v>59</v>
      </c>
      <c r="E21" s="41" t="s">
        <v>66</v>
      </c>
      <c r="F21" s="206" t="s">
        <v>143</v>
      </c>
      <c r="G21" s="207" t="s">
        <v>144</v>
      </c>
      <c r="H21" s="96"/>
      <c r="I21" s="96">
        <f>+H54</f>
        <v>4362455.1450062795</v>
      </c>
      <c r="J21" s="96"/>
      <c r="K21" s="97"/>
    </row>
    <row r="22" spans="1:20" x14ac:dyDescent="0.2">
      <c r="A22" s="51" t="s">
        <v>36</v>
      </c>
      <c r="B22" s="39" t="s">
        <v>57</v>
      </c>
      <c r="C22" s="52" t="s">
        <v>58</v>
      </c>
      <c r="D22" s="52" t="s">
        <v>59</v>
      </c>
      <c r="E22" s="41" t="s">
        <v>67</v>
      </c>
      <c r="F22" s="206" t="s">
        <v>143</v>
      </c>
      <c r="G22" s="207" t="s">
        <v>144</v>
      </c>
      <c r="H22" s="96"/>
      <c r="I22" s="96">
        <f>+H60</f>
        <v>8990622.861833768</v>
      </c>
      <c r="J22" s="96"/>
      <c r="K22" s="97"/>
    </row>
    <row r="23" spans="1:20" x14ac:dyDescent="0.2">
      <c r="A23" s="51" t="s">
        <v>36</v>
      </c>
      <c r="B23" s="39" t="s">
        <v>57</v>
      </c>
      <c r="C23" s="52" t="s">
        <v>58</v>
      </c>
      <c r="D23" s="52" t="s">
        <v>59</v>
      </c>
      <c r="E23" s="41" t="s">
        <v>68</v>
      </c>
      <c r="F23" s="206" t="s">
        <v>143</v>
      </c>
      <c r="G23" s="207" t="s">
        <v>144</v>
      </c>
      <c r="H23" s="96"/>
      <c r="I23" s="96">
        <f>+H72</f>
        <v>9356914.7090348117</v>
      </c>
      <c r="J23" s="96"/>
      <c r="K23" s="97"/>
    </row>
    <row r="24" spans="1:20" ht="13.5" thickBot="1" x14ac:dyDescent="0.25">
      <c r="A24" s="98" t="s">
        <v>36</v>
      </c>
      <c r="B24" s="99" t="s">
        <v>57</v>
      </c>
      <c r="C24" s="99" t="s">
        <v>58</v>
      </c>
      <c r="D24" s="99" t="s">
        <v>59</v>
      </c>
      <c r="E24" s="99" t="s">
        <v>107</v>
      </c>
      <c r="F24" s="208" t="s">
        <v>143</v>
      </c>
      <c r="G24" s="209" t="s">
        <v>144</v>
      </c>
      <c r="H24" s="46"/>
      <c r="I24" s="46">
        <f>+H84+B96</f>
        <v>64713297.182548165</v>
      </c>
      <c r="J24" s="46"/>
      <c r="K24" s="14"/>
    </row>
    <row r="25" spans="1:20" ht="13.5" thickTop="1" x14ac:dyDescent="0.2">
      <c r="E25" s="102"/>
      <c r="F25" s="102"/>
      <c r="G25" s="102"/>
      <c r="H25" s="102"/>
      <c r="I25" s="102"/>
    </row>
    <row r="26" spans="1:20" x14ac:dyDescent="0.2">
      <c r="A26" s="77" t="s">
        <v>40</v>
      </c>
      <c r="B26" s="78" t="s">
        <v>113</v>
      </c>
      <c r="E26" s="102"/>
      <c r="F26" s="102"/>
      <c r="G26" s="102"/>
      <c r="H26" s="102"/>
      <c r="I26" s="102"/>
    </row>
    <row r="27" spans="1:20" x14ac:dyDescent="0.2">
      <c r="A27" s="77" t="s">
        <v>19</v>
      </c>
      <c r="B27" s="78" t="s">
        <v>36</v>
      </c>
      <c r="E27" s="102"/>
      <c r="F27" s="102"/>
      <c r="G27" s="102"/>
      <c r="H27" s="102"/>
      <c r="I27" s="102"/>
      <c r="M27" s="141"/>
      <c r="N27" s="141"/>
      <c r="O27" s="141"/>
      <c r="P27" s="141"/>
      <c r="Q27" s="141"/>
      <c r="R27" s="141"/>
      <c r="S27" s="141"/>
      <c r="T27" s="141"/>
    </row>
    <row r="28" spans="1:20" x14ac:dyDescent="0.2">
      <c r="A28" s="77" t="s">
        <v>85</v>
      </c>
      <c r="B28" s="78" t="s">
        <v>96</v>
      </c>
      <c r="M28" s="141"/>
      <c r="N28" s="141"/>
      <c r="O28" s="141"/>
      <c r="P28" s="141"/>
      <c r="Q28" s="141"/>
      <c r="R28" s="141"/>
      <c r="S28" s="141"/>
      <c r="T28" s="141"/>
    </row>
    <row r="29" spans="1:20" x14ac:dyDescent="0.2">
      <c r="A29" s="77" t="s">
        <v>44</v>
      </c>
      <c r="B29" s="114">
        <v>0.04</v>
      </c>
      <c r="C29" s="115">
        <f>+B29/12</f>
        <v>3.3333333333333335E-3</v>
      </c>
      <c r="M29" s="141"/>
      <c r="N29" s="141"/>
      <c r="O29" s="141"/>
      <c r="P29" s="141"/>
      <c r="Q29" s="141"/>
      <c r="R29" s="141"/>
      <c r="S29" s="141"/>
      <c r="T29" s="141"/>
    </row>
    <row r="30" spans="1:20" x14ac:dyDescent="0.2">
      <c r="A30" s="77" t="s">
        <v>116</v>
      </c>
      <c r="B30" s="114" t="s">
        <v>111</v>
      </c>
      <c r="C30" s="115"/>
      <c r="M30" s="141"/>
      <c r="N30" s="141"/>
      <c r="O30" s="141"/>
      <c r="P30" s="141"/>
      <c r="Q30" s="141"/>
      <c r="R30" s="141"/>
      <c r="S30" s="141"/>
      <c r="T30" s="141"/>
    </row>
    <row r="31" spans="1:20" x14ac:dyDescent="0.2">
      <c r="A31" s="77" t="s">
        <v>114</v>
      </c>
      <c r="B31" s="78" t="s">
        <v>110</v>
      </c>
      <c r="D31" s="110"/>
      <c r="M31" s="141"/>
      <c r="N31" s="141"/>
      <c r="O31" s="141"/>
      <c r="P31" s="141"/>
      <c r="Q31" s="141"/>
      <c r="R31" s="141"/>
      <c r="S31" s="141"/>
      <c r="T31" s="141"/>
    </row>
    <row r="32" spans="1:20" x14ac:dyDescent="0.2">
      <c r="A32" s="77" t="s">
        <v>41</v>
      </c>
      <c r="B32" s="78" t="s">
        <v>70</v>
      </c>
      <c r="I32" s="33"/>
      <c r="J32" s="49"/>
      <c r="M32" s="141"/>
      <c r="N32" s="141"/>
      <c r="O32" s="141"/>
      <c r="P32" s="141"/>
      <c r="Q32" s="141"/>
      <c r="R32" s="141"/>
      <c r="S32" s="141"/>
      <c r="T32" s="141"/>
    </row>
    <row r="33" spans="1:20" ht="27.75" customHeight="1" thickBot="1" x14ac:dyDescent="0.25">
      <c r="H33" s="113"/>
      <c r="J33" s="49"/>
      <c r="K33" s="100"/>
      <c r="L33" s="100"/>
      <c r="M33" s="141"/>
      <c r="N33" s="141"/>
      <c r="O33" s="141"/>
      <c r="P33" s="141"/>
      <c r="Q33" s="141"/>
      <c r="R33" s="141"/>
      <c r="S33" s="141"/>
      <c r="T33" s="141"/>
    </row>
    <row r="34" spans="1:20" x14ac:dyDescent="0.2">
      <c r="A34" s="242" t="s">
        <v>120</v>
      </c>
      <c r="B34" s="243"/>
      <c r="C34" s="243"/>
      <c r="D34" s="243"/>
      <c r="E34" s="244"/>
      <c r="F34" s="245" t="s">
        <v>106</v>
      </c>
      <c r="G34" s="246"/>
      <c r="H34" s="246"/>
      <c r="K34" s="141"/>
      <c r="L34" s="141"/>
      <c r="M34" s="141"/>
      <c r="N34" s="141"/>
      <c r="O34" s="141"/>
      <c r="P34" s="141"/>
      <c r="Q34" s="141"/>
      <c r="R34" s="141"/>
    </row>
    <row r="35" spans="1:20" s="141" customFormat="1" ht="13.5" thickBot="1" x14ac:dyDescent="0.25">
      <c r="A35" s="142" t="s">
        <v>95</v>
      </c>
      <c r="B35" s="142" t="s">
        <v>101</v>
      </c>
      <c r="C35" s="143" t="s">
        <v>102</v>
      </c>
      <c r="D35" s="143" t="s">
        <v>44</v>
      </c>
      <c r="E35" s="145" t="s">
        <v>103</v>
      </c>
      <c r="F35" s="83" t="s">
        <v>92</v>
      </c>
      <c r="G35" s="84" t="s">
        <v>44</v>
      </c>
      <c r="H35" s="85" t="s">
        <v>103</v>
      </c>
    </row>
    <row r="36" spans="1:20" s="141" customFormat="1" ht="13.5" thickBot="1" x14ac:dyDescent="0.25">
      <c r="A36" s="108">
        <v>1</v>
      </c>
      <c r="B36" s="104">
        <v>100000000</v>
      </c>
      <c r="C36" s="103">
        <f t="shared" ref="C36:C67" si="0">+-PMT($C$29,120,+$B$36)</f>
        <v>1012451.3816488149</v>
      </c>
      <c r="D36" s="80">
        <f t="shared" ref="D36:D67" si="1">+B36*$C$29</f>
        <v>333333.33333333337</v>
      </c>
      <c r="E36" s="105">
        <f>+C36-D36</f>
        <v>679118.04831548152</v>
      </c>
      <c r="F36" s="131">
        <f t="shared" ref="F36:F67" si="2">+A36/12</f>
        <v>8.3333333333333329E-2</v>
      </c>
      <c r="G36" s="132">
        <f>+D36</f>
        <v>333333.33333333337</v>
      </c>
      <c r="H36" s="134">
        <f>+E36</f>
        <v>679118.04831548152</v>
      </c>
    </row>
    <row r="37" spans="1:20" x14ac:dyDescent="0.2">
      <c r="A37" s="108">
        <v>2</v>
      </c>
      <c r="B37" s="106">
        <f>+B36-E36</f>
        <v>99320881.95168452</v>
      </c>
      <c r="C37" s="103">
        <f t="shared" si="0"/>
        <v>1012451.3816488149</v>
      </c>
      <c r="D37" s="80">
        <f t="shared" si="1"/>
        <v>331069.60650561511</v>
      </c>
      <c r="E37" s="105">
        <f>+C37-D37</f>
        <v>681381.77514319983</v>
      </c>
      <c r="F37" s="135">
        <f t="shared" si="2"/>
        <v>0.16666666666666666</v>
      </c>
      <c r="G37" s="236">
        <f>+D37+D38</f>
        <v>659867.9404274195</v>
      </c>
      <c r="H37" s="239">
        <f>+E37+E38</f>
        <v>1365034.8228702103</v>
      </c>
      <c r="I37" s="141"/>
      <c r="J37" s="141"/>
      <c r="K37" s="141"/>
      <c r="L37" s="141"/>
      <c r="M37" s="141"/>
      <c r="N37" s="141"/>
      <c r="O37" s="141"/>
      <c r="P37" s="141"/>
    </row>
    <row r="38" spans="1:20" ht="13.5" thickBot="1" x14ac:dyDescent="0.25">
      <c r="A38" s="108">
        <v>3</v>
      </c>
      <c r="B38" s="106">
        <f t="shared" ref="B38:B101" si="3">+B37-E37</f>
        <v>98639500.176541314</v>
      </c>
      <c r="C38" s="103">
        <f t="shared" si="0"/>
        <v>1012451.3816488149</v>
      </c>
      <c r="D38" s="80">
        <f t="shared" si="1"/>
        <v>328798.33392180438</v>
      </c>
      <c r="E38" s="105">
        <f t="shared" ref="E38:E101" si="4">+C38-D38</f>
        <v>683653.04772701045</v>
      </c>
      <c r="F38" s="136">
        <f t="shared" si="2"/>
        <v>0.25</v>
      </c>
      <c r="G38" s="238"/>
      <c r="H38" s="241"/>
      <c r="I38" s="141"/>
      <c r="J38" s="141"/>
      <c r="K38" s="141"/>
      <c r="L38" s="141"/>
      <c r="M38" s="141"/>
      <c r="N38" s="141"/>
      <c r="O38" s="141"/>
      <c r="P38" s="141"/>
    </row>
    <row r="39" spans="1:20" x14ac:dyDescent="0.2">
      <c r="A39" s="108">
        <v>4</v>
      </c>
      <c r="B39" s="106">
        <f t="shared" si="3"/>
        <v>97955847.12881431</v>
      </c>
      <c r="C39" s="103">
        <f t="shared" si="0"/>
        <v>1012451.3816488149</v>
      </c>
      <c r="D39" s="80">
        <f t="shared" si="1"/>
        <v>326519.49042938103</v>
      </c>
      <c r="E39" s="105">
        <f t="shared" si="4"/>
        <v>685931.89121943386</v>
      </c>
      <c r="F39" s="135">
        <f t="shared" si="2"/>
        <v>0.33333333333333331</v>
      </c>
      <c r="G39" s="236">
        <f>+D39+D40+D41</f>
        <v>972691.53091049078</v>
      </c>
      <c r="H39" s="239">
        <f>+E39+E40+E41</f>
        <v>2064662.6140359538</v>
      </c>
      <c r="I39" s="141"/>
      <c r="J39" s="141"/>
      <c r="K39" s="141"/>
      <c r="L39" s="141"/>
      <c r="M39" s="141"/>
      <c r="N39" s="141"/>
      <c r="O39" s="141"/>
      <c r="P39" s="141"/>
    </row>
    <row r="40" spans="1:20" x14ac:dyDescent="0.2">
      <c r="A40" s="108">
        <v>5</v>
      </c>
      <c r="B40" s="106">
        <f t="shared" si="3"/>
        <v>97269915.237594873</v>
      </c>
      <c r="C40" s="103">
        <f t="shared" si="0"/>
        <v>1012451.3816488149</v>
      </c>
      <c r="D40" s="80">
        <f t="shared" si="1"/>
        <v>324233.05079198291</v>
      </c>
      <c r="E40" s="105">
        <f t="shared" si="4"/>
        <v>688218.33085683198</v>
      </c>
      <c r="F40" s="137">
        <f t="shared" si="2"/>
        <v>0.41666666666666669</v>
      </c>
      <c r="G40" s="237"/>
      <c r="H40" s="240"/>
      <c r="I40" s="141"/>
      <c r="J40" s="141"/>
      <c r="K40" s="141"/>
      <c r="L40" s="141"/>
      <c r="M40" s="141"/>
      <c r="N40" s="141"/>
      <c r="O40" s="141"/>
      <c r="P40" s="141"/>
    </row>
    <row r="41" spans="1:20" ht="13.5" thickBot="1" x14ac:dyDescent="0.25">
      <c r="A41" s="108">
        <v>6</v>
      </c>
      <c r="B41" s="106">
        <f t="shared" si="3"/>
        <v>96581696.906738043</v>
      </c>
      <c r="C41" s="103">
        <f t="shared" si="0"/>
        <v>1012451.3816488149</v>
      </c>
      <c r="D41" s="80">
        <f t="shared" si="1"/>
        <v>321938.98968912684</v>
      </c>
      <c r="E41" s="105">
        <f t="shared" si="4"/>
        <v>690512.39195968804</v>
      </c>
      <c r="F41" s="136">
        <f t="shared" si="2"/>
        <v>0.5</v>
      </c>
      <c r="G41" s="238"/>
      <c r="H41" s="241"/>
    </row>
    <row r="42" spans="1:20" x14ac:dyDescent="0.2">
      <c r="A42" s="108">
        <v>7</v>
      </c>
      <c r="B42" s="106">
        <f t="shared" si="3"/>
        <v>95891184.514778361</v>
      </c>
      <c r="C42" s="103">
        <f t="shared" si="0"/>
        <v>1012451.3816488149</v>
      </c>
      <c r="D42" s="80">
        <f t="shared" si="1"/>
        <v>319637.28171592788</v>
      </c>
      <c r="E42" s="105">
        <f t="shared" si="4"/>
        <v>692814.09993288701</v>
      </c>
      <c r="F42" s="135">
        <f t="shared" si="2"/>
        <v>0.58333333333333337</v>
      </c>
      <c r="G42" s="236">
        <f>+D42+D43+D44</f>
        <v>951976.00621401099</v>
      </c>
      <c r="H42" s="239">
        <f>+E42+E43+E44</f>
        <v>2085378.1387324336</v>
      </c>
    </row>
    <row r="43" spans="1:20" x14ac:dyDescent="0.2">
      <c r="A43" s="108">
        <v>8</v>
      </c>
      <c r="B43" s="106">
        <f t="shared" si="3"/>
        <v>95198370.414845467</v>
      </c>
      <c r="C43" s="103">
        <f t="shared" si="0"/>
        <v>1012451.3816488149</v>
      </c>
      <c r="D43" s="80">
        <f t="shared" si="1"/>
        <v>317327.90138281824</v>
      </c>
      <c r="E43" s="105">
        <f t="shared" si="4"/>
        <v>695123.48026599665</v>
      </c>
      <c r="F43" s="137">
        <f t="shared" si="2"/>
        <v>0.66666666666666663</v>
      </c>
      <c r="G43" s="237"/>
      <c r="H43" s="240"/>
    </row>
    <row r="44" spans="1:20" ht="13.5" thickBot="1" x14ac:dyDescent="0.25">
      <c r="A44" s="108">
        <v>9</v>
      </c>
      <c r="B44" s="106">
        <f t="shared" si="3"/>
        <v>94503246.934579477</v>
      </c>
      <c r="C44" s="103">
        <f t="shared" si="0"/>
        <v>1012451.3816488149</v>
      </c>
      <c r="D44" s="80">
        <f t="shared" si="1"/>
        <v>315010.82311526494</v>
      </c>
      <c r="E44" s="105">
        <f t="shared" si="4"/>
        <v>697440.55853355001</v>
      </c>
      <c r="F44" s="136">
        <f t="shared" si="2"/>
        <v>0.75</v>
      </c>
      <c r="G44" s="238"/>
      <c r="H44" s="241"/>
    </row>
    <row r="45" spans="1:20" x14ac:dyDescent="0.2">
      <c r="A45" s="108">
        <v>10</v>
      </c>
      <c r="B45" s="106">
        <f t="shared" si="3"/>
        <v>93805806.376045927</v>
      </c>
      <c r="C45" s="103">
        <f t="shared" si="0"/>
        <v>1012451.3816488149</v>
      </c>
      <c r="D45" s="80">
        <f t="shared" si="1"/>
        <v>312686.02125348645</v>
      </c>
      <c r="E45" s="105">
        <f t="shared" si="4"/>
        <v>699765.36039532837</v>
      </c>
      <c r="F45" s="138">
        <f t="shared" si="2"/>
        <v>0.83333333333333337</v>
      </c>
      <c r="G45" s="236">
        <f>+D45+D46+D47</f>
        <v>931052.63498583506</v>
      </c>
      <c r="H45" s="239">
        <f>+E45+E46+E47</f>
        <v>2106301.5099606095</v>
      </c>
    </row>
    <row r="46" spans="1:20" x14ac:dyDescent="0.2">
      <c r="A46" s="108">
        <v>11</v>
      </c>
      <c r="B46" s="106">
        <f t="shared" si="3"/>
        <v>93106041.0156506</v>
      </c>
      <c r="C46" s="103">
        <f t="shared" si="0"/>
        <v>1012451.3816488149</v>
      </c>
      <c r="D46" s="80">
        <f t="shared" si="1"/>
        <v>310353.4700521687</v>
      </c>
      <c r="E46" s="105">
        <f t="shared" si="4"/>
        <v>702097.91159664618</v>
      </c>
      <c r="F46" s="139">
        <f t="shared" si="2"/>
        <v>0.91666666666666663</v>
      </c>
      <c r="G46" s="237"/>
      <c r="H46" s="240"/>
    </row>
    <row r="47" spans="1:20" ht="13.5" thickBot="1" x14ac:dyDescent="0.25">
      <c r="A47" s="108">
        <v>12</v>
      </c>
      <c r="B47" s="106">
        <f t="shared" si="3"/>
        <v>92403943.104053959</v>
      </c>
      <c r="C47" s="103">
        <f t="shared" si="0"/>
        <v>1012451.3816488149</v>
      </c>
      <c r="D47" s="80">
        <f t="shared" si="1"/>
        <v>308013.1436801799</v>
      </c>
      <c r="E47" s="105">
        <f t="shared" si="4"/>
        <v>704438.23796863505</v>
      </c>
      <c r="F47" s="140">
        <f t="shared" si="2"/>
        <v>1</v>
      </c>
      <c r="G47" s="238"/>
      <c r="H47" s="241"/>
    </row>
    <row r="48" spans="1:20" x14ac:dyDescent="0.2">
      <c r="A48" s="108">
        <v>13</v>
      </c>
      <c r="B48" s="106">
        <f t="shared" si="3"/>
        <v>91699504.866085321</v>
      </c>
      <c r="C48" s="103">
        <f t="shared" si="0"/>
        <v>1012451.3816488149</v>
      </c>
      <c r="D48" s="80">
        <f t="shared" si="1"/>
        <v>305665.01622028439</v>
      </c>
      <c r="E48" s="105">
        <f t="shared" si="4"/>
        <v>706786.36542853049</v>
      </c>
      <c r="F48" s="138">
        <f t="shared" si="2"/>
        <v>1.0833333333333333</v>
      </c>
      <c r="G48" s="230">
        <f>+SUM(D48:D53)</f>
        <v>1798493.3222305898</v>
      </c>
      <c r="H48" s="233">
        <f>+SUM(E48:E53)</f>
        <v>4276214.9676622991</v>
      </c>
    </row>
    <row r="49" spans="1:8" x14ac:dyDescent="0.2">
      <c r="A49" s="108">
        <v>14</v>
      </c>
      <c r="B49" s="106">
        <f t="shared" si="3"/>
        <v>90992718.500656784</v>
      </c>
      <c r="C49" s="103">
        <f t="shared" si="0"/>
        <v>1012451.3816488149</v>
      </c>
      <c r="D49" s="80">
        <f t="shared" si="1"/>
        <v>303309.06166885595</v>
      </c>
      <c r="E49" s="105">
        <f t="shared" si="4"/>
        <v>709142.31997995893</v>
      </c>
      <c r="F49" s="139">
        <f t="shared" si="2"/>
        <v>1.1666666666666667</v>
      </c>
      <c r="G49" s="231"/>
      <c r="H49" s="234"/>
    </row>
    <row r="50" spans="1:8" x14ac:dyDescent="0.2">
      <c r="A50" s="108">
        <v>15</v>
      </c>
      <c r="B50" s="106">
        <f t="shared" si="3"/>
        <v>90283576.180676818</v>
      </c>
      <c r="C50" s="103">
        <f t="shared" si="0"/>
        <v>1012451.3816488149</v>
      </c>
      <c r="D50" s="80">
        <f t="shared" si="1"/>
        <v>300945.2539355894</v>
      </c>
      <c r="E50" s="105">
        <f t="shared" si="4"/>
        <v>711506.12771322555</v>
      </c>
      <c r="F50" s="139">
        <f t="shared" si="2"/>
        <v>1.25</v>
      </c>
      <c r="G50" s="231"/>
      <c r="H50" s="234"/>
    </row>
    <row r="51" spans="1:8" x14ac:dyDescent="0.2">
      <c r="A51" s="108">
        <v>16</v>
      </c>
      <c r="B51" s="106">
        <f t="shared" si="3"/>
        <v>89572070.0529636</v>
      </c>
      <c r="C51" s="103">
        <f t="shared" si="0"/>
        <v>1012451.3816488149</v>
      </c>
      <c r="D51" s="80">
        <f t="shared" si="1"/>
        <v>298573.566843212</v>
      </c>
      <c r="E51" s="105">
        <f t="shared" si="4"/>
        <v>713877.81480560289</v>
      </c>
      <c r="F51" s="139">
        <f t="shared" si="2"/>
        <v>1.3333333333333333</v>
      </c>
      <c r="G51" s="231"/>
      <c r="H51" s="234"/>
    </row>
    <row r="52" spans="1:8" x14ac:dyDescent="0.2">
      <c r="A52" s="108">
        <v>17</v>
      </c>
      <c r="B52" s="106">
        <f t="shared" si="3"/>
        <v>88858192.238158002</v>
      </c>
      <c r="C52" s="103">
        <f t="shared" si="0"/>
        <v>1012451.3816488149</v>
      </c>
      <c r="D52" s="80">
        <f t="shared" si="1"/>
        <v>296193.97412719339</v>
      </c>
      <c r="E52" s="105">
        <f t="shared" si="4"/>
        <v>716257.40752162156</v>
      </c>
      <c r="F52" s="139">
        <f t="shared" si="2"/>
        <v>1.4166666666666667</v>
      </c>
      <c r="G52" s="231"/>
      <c r="H52" s="234"/>
    </row>
    <row r="53" spans="1:8" ht="13.5" thickBot="1" x14ac:dyDescent="0.25">
      <c r="A53" s="108">
        <v>18</v>
      </c>
      <c r="B53" s="106">
        <f t="shared" si="3"/>
        <v>88141934.830636382</v>
      </c>
      <c r="C53" s="103">
        <f t="shared" si="0"/>
        <v>1012451.3816488149</v>
      </c>
      <c r="D53" s="80">
        <f t="shared" si="1"/>
        <v>293806.44943545462</v>
      </c>
      <c r="E53" s="105">
        <f t="shared" si="4"/>
        <v>718644.93221336021</v>
      </c>
      <c r="F53" s="140">
        <f t="shared" si="2"/>
        <v>1.5</v>
      </c>
      <c r="G53" s="232"/>
      <c r="H53" s="235"/>
    </row>
    <row r="54" spans="1:8" x14ac:dyDescent="0.2">
      <c r="A54" s="108">
        <v>19</v>
      </c>
      <c r="B54" s="106">
        <f t="shared" si="3"/>
        <v>87423289.898423016</v>
      </c>
      <c r="C54" s="103">
        <f t="shared" si="0"/>
        <v>1012451.3816488149</v>
      </c>
      <c r="D54" s="80">
        <f t="shared" si="1"/>
        <v>291410.96632807673</v>
      </c>
      <c r="E54" s="105">
        <f t="shared" si="4"/>
        <v>721040.41532073822</v>
      </c>
      <c r="F54" s="138">
        <f t="shared" si="2"/>
        <v>1.5833333333333333</v>
      </c>
      <c r="G54" s="230">
        <f>+SUM(D54:D59)</f>
        <v>1712253.1448866096</v>
      </c>
      <c r="H54" s="233">
        <f>+SUM(E54:E59)</f>
        <v>4362455.1450062795</v>
      </c>
    </row>
    <row r="55" spans="1:8" x14ac:dyDescent="0.2">
      <c r="A55" s="108">
        <v>20</v>
      </c>
      <c r="B55" s="106">
        <f t="shared" si="3"/>
        <v>86702249.483102277</v>
      </c>
      <c r="C55" s="103">
        <f t="shared" si="0"/>
        <v>1012451.3816488149</v>
      </c>
      <c r="D55" s="80">
        <f t="shared" si="1"/>
        <v>289007.4982770076</v>
      </c>
      <c r="E55" s="105">
        <f t="shared" si="4"/>
        <v>723443.88337180729</v>
      </c>
      <c r="F55" s="139">
        <f t="shared" si="2"/>
        <v>1.6666666666666667</v>
      </c>
      <c r="G55" s="231"/>
      <c r="H55" s="234"/>
    </row>
    <row r="56" spans="1:8" x14ac:dyDescent="0.2">
      <c r="A56" s="108">
        <v>21</v>
      </c>
      <c r="B56" s="106">
        <f t="shared" si="3"/>
        <v>85978805.599730477</v>
      </c>
      <c r="C56" s="103">
        <f t="shared" si="0"/>
        <v>1012451.3816488149</v>
      </c>
      <c r="D56" s="80">
        <f t="shared" si="1"/>
        <v>286596.01866576826</v>
      </c>
      <c r="E56" s="105">
        <f t="shared" si="4"/>
        <v>725855.36298304657</v>
      </c>
      <c r="F56" s="139">
        <f t="shared" si="2"/>
        <v>1.75</v>
      </c>
      <c r="G56" s="231"/>
      <c r="H56" s="234"/>
    </row>
    <row r="57" spans="1:8" x14ac:dyDescent="0.2">
      <c r="A57" s="108">
        <v>22</v>
      </c>
      <c r="B57" s="106">
        <f t="shared" si="3"/>
        <v>85252950.236747429</v>
      </c>
      <c r="C57" s="103">
        <f t="shared" si="0"/>
        <v>1012451.3816488149</v>
      </c>
      <c r="D57" s="80">
        <f t="shared" si="1"/>
        <v>284176.5007891581</v>
      </c>
      <c r="E57" s="105">
        <f t="shared" si="4"/>
        <v>728274.88085965673</v>
      </c>
      <c r="F57" s="139">
        <f t="shared" si="2"/>
        <v>1.8333333333333333</v>
      </c>
      <c r="G57" s="231"/>
      <c r="H57" s="234"/>
    </row>
    <row r="58" spans="1:8" x14ac:dyDescent="0.2">
      <c r="A58" s="108">
        <v>23</v>
      </c>
      <c r="B58" s="106">
        <f t="shared" si="3"/>
        <v>84524675.355887771</v>
      </c>
      <c r="C58" s="103">
        <f t="shared" si="0"/>
        <v>1012451.3816488149</v>
      </c>
      <c r="D58" s="80">
        <f t="shared" si="1"/>
        <v>281748.91785295925</v>
      </c>
      <c r="E58" s="105">
        <f t="shared" si="4"/>
        <v>730702.46379585564</v>
      </c>
      <c r="F58" s="139">
        <f t="shared" si="2"/>
        <v>1.9166666666666667</v>
      </c>
      <c r="G58" s="231"/>
      <c r="H58" s="234"/>
    </row>
    <row r="59" spans="1:8" ht="13.5" thickBot="1" x14ac:dyDescent="0.25">
      <c r="A59" s="108">
        <v>24</v>
      </c>
      <c r="B59" s="106">
        <f t="shared" si="3"/>
        <v>83793972.892091915</v>
      </c>
      <c r="C59" s="103">
        <f t="shared" si="0"/>
        <v>1012451.3816488149</v>
      </c>
      <c r="D59" s="80">
        <f t="shared" si="1"/>
        <v>279313.24297363975</v>
      </c>
      <c r="E59" s="105">
        <f t="shared" si="4"/>
        <v>733138.13867517514</v>
      </c>
      <c r="F59" s="140">
        <f t="shared" si="2"/>
        <v>2</v>
      </c>
      <c r="G59" s="232"/>
      <c r="H59" s="235"/>
    </row>
    <row r="60" spans="1:8" x14ac:dyDescent="0.2">
      <c r="A60" s="108">
        <v>25</v>
      </c>
      <c r="B60" s="106">
        <f t="shared" si="3"/>
        <v>83060834.753416747</v>
      </c>
      <c r="C60" s="103">
        <f t="shared" si="0"/>
        <v>1012451.3816488149</v>
      </c>
      <c r="D60" s="80">
        <f t="shared" si="1"/>
        <v>276869.44917805586</v>
      </c>
      <c r="E60" s="105">
        <f t="shared" si="4"/>
        <v>735581.93247075903</v>
      </c>
      <c r="F60" s="138">
        <f t="shared" si="2"/>
        <v>2.0833333333333335</v>
      </c>
      <c r="G60" s="230">
        <f>+SUM(D60:D71)</f>
        <v>3158793.7179520093</v>
      </c>
      <c r="H60" s="233">
        <f>+SUM(E60:E71)</f>
        <v>8990622.861833768</v>
      </c>
    </row>
    <row r="61" spans="1:8" x14ac:dyDescent="0.2">
      <c r="A61" s="108">
        <v>26</v>
      </c>
      <c r="B61" s="106">
        <f t="shared" si="3"/>
        <v>82325252.820945993</v>
      </c>
      <c r="C61" s="103">
        <f t="shared" si="0"/>
        <v>1012451.3816488149</v>
      </c>
      <c r="D61" s="80">
        <f t="shared" si="1"/>
        <v>274417.50940315332</v>
      </c>
      <c r="E61" s="105">
        <f t="shared" si="4"/>
        <v>738033.87224566157</v>
      </c>
      <c r="F61" s="139">
        <f t="shared" si="2"/>
        <v>2.1666666666666665</v>
      </c>
      <c r="G61" s="231"/>
      <c r="H61" s="234"/>
    </row>
    <row r="62" spans="1:8" x14ac:dyDescent="0.2">
      <c r="A62" s="108">
        <v>27</v>
      </c>
      <c r="B62" s="106">
        <f t="shared" si="3"/>
        <v>81587218.948700339</v>
      </c>
      <c r="C62" s="103">
        <f t="shared" si="0"/>
        <v>1012451.3816488149</v>
      </c>
      <c r="D62" s="80">
        <f t="shared" si="1"/>
        <v>271957.39649566781</v>
      </c>
      <c r="E62" s="105">
        <f t="shared" si="4"/>
        <v>740493.98515314702</v>
      </c>
      <c r="F62" s="139">
        <f t="shared" si="2"/>
        <v>2.25</v>
      </c>
      <c r="G62" s="231"/>
      <c r="H62" s="234"/>
    </row>
    <row r="63" spans="1:8" x14ac:dyDescent="0.2">
      <c r="A63" s="108">
        <v>28</v>
      </c>
      <c r="B63" s="106">
        <f t="shared" si="3"/>
        <v>80846724.963547185</v>
      </c>
      <c r="C63" s="103">
        <f t="shared" si="0"/>
        <v>1012451.3816488149</v>
      </c>
      <c r="D63" s="80">
        <f t="shared" si="1"/>
        <v>269489.08321182395</v>
      </c>
      <c r="E63" s="105">
        <f t="shared" si="4"/>
        <v>742962.29843699094</v>
      </c>
      <c r="F63" s="139">
        <f t="shared" si="2"/>
        <v>2.3333333333333335</v>
      </c>
      <c r="G63" s="231"/>
      <c r="H63" s="234"/>
    </row>
    <row r="64" spans="1:8" x14ac:dyDescent="0.2">
      <c r="A64" s="108">
        <v>29</v>
      </c>
      <c r="B64" s="106">
        <f t="shared" si="3"/>
        <v>80103762.665110201</v>
      </c>
      <c r="C64" s="103">
        <f t="shared" si="0"/>
        <v>1012451.3816488149</v>
      </c>
      <c r="D64" s="80">
        <f t="shared" si="1"/>
        <v>267012.54221703403</v>
      </c>
      <c r="E64" s="105">
        <f t="shared" si="4"/>
        <v>745438.83943178086</v>
      </c>
      <c r="F64" s="139">
        <f t="shared" si="2"/>
        <v>2.4166666666666665</v>
      </c>
      <c r="G64" s="231"/>
      <c r="H64" s="234"/>
    </row>
    <row r="65" spans="1:8" x14ac:dyDescent="0.2">
      <c r="A65" s="108">
        <v>30</v>
      </c>
      <c r="B65" s="106">
        <f t="shared" si="3"/>
        <v>79358323.825678423</v>
      </c>
      <c r="C65" s="103">
        <f t="shared" si="0"/>
        <v>1012451.3816488149</v>
      </c>
      <c r="D65" s="80">
        <f t="shared" si="1"/>
        <v>264527.74608559476</v>
      </c>
      <c r="E65" s="105">
        <f t="shared" si="4"/>
        <v>747923.63556322013</v>
      </c>
      <c r="F65" s="139">
        <f t="shared" si="2"/>
        <v>2.5</v>
      </c>
      <c r="G65" s="231"/>
      <c r="H65" s="234"/>
    </row>
    <row r="66" spans="1:8" x14ac:dyDescent="0.2">
      <c r="A66" s="108">
        <v>31</v>
      </c>
      <c r="B66" s="106">
        <f t="shared" si="3"/>
        <v>78610400.190115198</v>
      </c>
      <c r="C66" s="103">
        <f t="shared" si="0"/>
        <v>1012451.3816488149</v>
      </c>
      <c r="D66" s="80">
        <f t="shared" si="1"/>
        <v>262034.66730038403</v>
      </c>
      <c r="E66" s="105">
        <f t="shared" si="4"/>
        <v>750416.71434843086</v>
      </c>
      <c r="F66" s="139">
        <f t="shared" si="2"/>
        <v>2.5833333333333335</v>
      </c>
      <c r="G66" s="231"/>
      <c r="H66" s="234"/>
    </row>
    <row r="67" spans="1:8" x14ac:dyDescent="0.2">
      <c r="A67" s="108">
        <v>32</v>
      </c>
      <c r="B67" s="106">
        <f t="shared" si="3"/>
        <v>77859983.475766763</v>
      </c>
      <c r="C67" s="103">
        <f t="shared" si="0"/>
        <v>1012451.3816488149</v>
      </c>
      <c r="D67" s="80">
        <f t="shared" si="1"/>
        <v>259533.2782525559</v>
      </c>
      <c r="E67" s="105">
        <f t="shared" si="4"/>
        <v>752918.10339625902</v>
      </c>
      <c r="F67" s="139">
        <f t="shared" si="2"/>
        <v>2.6666666666666665</v>
      </c>
      <c r="G67" s="231"/>
      <c r="H67" s="234"/>
    </row>
    <row r="68" spans="1:8" x14ac:dyDescent="0.2">
      <c r="A68" s="108">
        <v>33</v>
      </c>
      <c r="B68" s="106">
        <f t="shared" si="3"/>
        <v>77107065.372370511</v>
      </c>
      <c r="C68" s="103">
        <f t="shared" ref="C68:C99" si="5">+-PMT($C$29,120,+$B$36)</f>
        <v>1012451.3816488149</v>
      </c>
      <c r="D68" s="80">
        <f t="shared" ref="D68:D99" si="6">+B68*$C$29</f>
        <v>257023.55124123505</v>
      </c>
      <c r="E68" s="105">
        <f t="shared" si="4"/>
        <v>755427.8304075799</v>
      </c>
      <c r="F68" s="139">
        <f t="shared" ref="F68:F95" si="7">+A68/12</f>
        <v>2.75</v>
      </c>
      <c r="G68" s="231"/>
      <c r="H68" s="234"/>
    </row>
    <row r="69" spans="1:8" x14ac:dyDescent="0.2">
      <c r="A69" s="108">
        <v>34</v>
      </c>
      <c r="B69" s="106">
        <f t="shared" si="3"/>
        <v>76351637.541962937</v>
      </c>
      <c r="C69" s="103">
        <f t="shared" si="5"/>
        <v>1012451.3816488149</v>
      </c>
      <c r="D69" s="80">
        <f t="shared" si="6"/>
        <v>254505.45847320982</v>
      </c>
      <c r="E69" s="105">
        <f t="shared" si="4"/>
        <v>757945.92317560501</v>
      </c>
      <c r="F69" s="139">
        <f t="shared" si="7"/>
        <v>2.8333333333333335</v>
      </c>
      <c r="G69" s="231"/>
      <c r="H69" s="234"/>
    </row>
    <row r="70" spans="1:8" x14ac:dyDescent="0.2">
      <c r="A70" s="108">
        <v>35</v>
      </c>
      <c r="B70" s="106">
        <f t="shared" si="3"/>
        <v>75593691.618787333</v>
      </c>
      <c r="C70" s="103">
        <f t="shared" si="5"/>
        <v>1012451.3816488149</v>
      </c>
      <c r="D70" s="80">
        <f t="shared" si="6"/>
        <v>251978.97206262447</v>
      </c>
      <c r="E70" s="105">
        <f t="shared" si="4"/>
        <v>760472.40958619048</v>
      </c>
      <c r="F70" s="139">
        <f t="shared" si="7"/>
        <v>2.9166666666666665</v>
      </c>
      <c r="G70" s="231"/>
      <c r="H70" s="234"/>
    </row>
    <row r="71" spans="1:8" ht="13.5" thickBot="1" x14ac:dyDescent="0.25">
      <c r="A71" s="108">
        <v>36</v>
      </c>
      <c r="B71" s="106">
        <f t="shared" si="3"/>
        <v>74833219.209201142</v>
      </c>
      <c r="C71" s="103">
        <f t="shared" si="5"/>
        <v>1012451.3816488149</v>
      </c>
      <c r="D71" s="80">
        <f t="shared" si="6"/>
        <v>249444.0640306705</v>
      </c>
      <c r="E71" s="105">
        <f t="shared" si="4"/>
        <v>763007.31761814444</v>
      </c>
      <c r="F71" s="140">
        <f t="shared" si="7"/>
        <v>3</v>
      </c>
      <c r="G71" s="232"/>
      <c r="H71" s="235"/>
    </row>
    <row r="72" spans="1:8" x14ac:dyDescent="0.2">
      <c r="A72" s="108">
        <v>37</v>
      </c>
      <c r="B72" s="106">
        <f t="shared" si="3"/>
        <v>74070211.891582996</v>
      </c>
      <c r="C72" s="103">
        <f t="shared" si="5"/>
        <v>1012451.3816488149</v>
      </c>
      <c r="D72" s="80">
        <f t="shared" si="6"/>
        <v>246900.70630527666</v>
      </c>
      <c r="E72" s="105">
        <f t="shared" si="4"/>
        <v>765550.67534353817</v>
      </c>
      <c r="F72" s="138">
        <f t="shared" si="7"/>
        <v>3.0833333333333335</v>
      </c>
      <c r="G72" s="230">
        <f>+SUM(D72:D83)</f>
        <v>2792501.8707509669</v>
      </c>
      <c r="H72" s="233">
        <f>+SUM(E72:E83)</f>
        <v>9356914.7090348117</v>
      </c>
    </row>
    <row r="73" spans="1:8" x14ac:dyDescent="0.2">
      <c r="A73" s="108">
        <v>38</v>
      </c>
      <c r="B73" s="106">
        <f t="shared" si="3"/>
        <v>73304661.216239452</v>
      </c>
      <c r="C73" s="103">
        <f t="shared" si="5"/>
        <v>1012451.3816488149</v>
      </c>
      <c r="D73" s="80">
        <f t="shared" si="6"/>
        <v>244348.87072079818</v>
      </c>
      <c r="E73" s="105">
        <f t="shared" si="4"/>
        <v>768102.51092801674</v>
      </c>
      <c r="F73" s="139">
        <f t="shared" si="7"/>
        <v>3.1666666666666665</v>
      </c>
      <c r="G73" s="231"/>
      <c r="H73" s="234"/>
    </row>
    <row r="74" spans="1:8" x14ac:dyDescent="0.2">
      <c r="A74" s="108">
        <v>39</v>
      </c>
      <c r="B74" s="106">
        <f t="shared" si="3"/>
        <v>72536558.705311432</v>
      </c>
      <c r="C74" s="103">
        <f t="shared" si="5"/>
        <v>1012451.3816488149</v>
      </c>
      <c r="D74" s="80">
        <f t="shared" si="6"/>
        <v>241788.5290177048</v>
      </c>
      <c r="E74" s="105">
        <f t="shared" si="4"/>
        <v>770662.85263111012</v>
      </c>
      <c r="F74" s="139">
        <f t="shared" si="7"/>
        <v>3.25</v>
      </c>
      <c r="G74" s="231"/>
      <c r="H74" s="234"/>
    </row>
    <row r="75" spans="1:8" x14ac:dyDescent="0.2">
      <c r="A75" s="108">
        <v>40</v>
      </c>
      <c r="B75" s="106">
        <f t="shared" si="3"/>
        <v>71765895.852680326</v>
      </c>
      <c r="C75" s="103">
        <f t="shared" si="5"/>
        <v>1012451.3816488149</v>
      </c>
      <c r="D75" s="80">
        <f t="shared" si="6"/>
        <v>239219.65284226777</v>
      </c>
      <c r="E75" s="105">
        <f t="shared" si="4"/>
        <v>773231.72880654712</v>
      </c>
      <c r="F75" s="139">
        <f t="shared" si="7"/>
        <v>3.3333333333333335</v>
      </c>
      <c r="G75" s="231"/>
      <c r="H75" s="234"/>
    </row>
    <row r="76" spans="1:8" x14ac:dyDescent="0.2">
      <c r="A76" s="108">
        <v>41</v>
      </c>
      <c r="B76" s="121">
        <f t="shared" si="3"/>
        <v>70992664.123873785</v>
      </c>
      <c r="C76" s="119">
        <f t="shared" si="5"/>
        <v>1012451.3816488149</v>
      </c>
      <c r="D76" s="81">
        <f t="shared" si="6"/>
        <v>236642.21374624598</v>
      </c>
      <c r="E76" s="122">
        <f t="shared" si="4"/>
        <v>775809.16790256894</v>
      </c>
      <c r="F76" s="139">
        <f t="shared" si="7"/>
        <v>3.4166666666666665</v>
      </c>
      <c r="G76" s="231"/>
      <c r="H76" s="234"/>
    </row>
    <row r="77" spans="1:8" x14ac:dyDescent="0.2">
      <c r="A77" s="108">
        <v>42</v>
      </c>
      <c r="B77" s="121">
        <f t="shared" si="3"/>
        <v>70216854.955971211</v>
      </c>
      <c r="C77" s="119">
        <f t="shared" si="5"/>
        <v>1012451.3816488149</v>
      </c>
      <c r="D77" s="81">
        <f t="shared" si="6"/>
        <v>234056.18318657071</v>
      </c>
      <c r="E77" s="122">
        <f t="shared" si="4"/>
        <v>778395.19846224412</v>
      </c>
      <c r="F77" s="139">
        <f t="shared" si="7"/>
        <v>3.5</v>
      </c>
      <c r="G77" s="231"/>
      <c r="H77" s="234"/>
    </row>
    <row r="78" spans="1:8" x14ac:dyDescent="0.2">
      <c r="A78" s="108">
        <v>43</v>
      </c>
      <c r="B78" s="121">
        <f t="shared" si="3"/>
        <v>69438459.757508963</v>
      </c>
      <c r="C78" s="119">
        <f t="shared" si="5"/>
        <v>1012451.3816488149</v>
      </c>
      <c r="D78" s="81">
        <f t="shared" si="6"/>
        <v>231461.53252502991</v>
      </c>
      <c r="E78" s="122">
        <f t="shared" si="4"/>
        <v>780989.84912378504</v>
      </c>
      <c r="F78" s="139">
        <f t="shared" si="7"/>
        <v>3.5833333333333335</v>
      </c>
      <c r="G78" s="231"/>
      <c r="H78" s="234"/>
    </row>
    <row r="79" spans="1:8" x14ac:dyDescent="0.2">
      <c r="A79" s="108">
        <v>44</v>
      </c>
      <c r="B79" s="121">
        <f t="shared" si="3"/>
        <v>68657469.908385172</v>
      </c>
      <c r="C79" s="119">
        <f t="shared" si="5"/>
        <v>1012451.3816488149</v>
      </c>
      <c r="D79" s="81">
        <f t="shared" si="6"/>
        <v>228858.2330279506</v>
      </c>
      <c r="E79" s="122">
        <f t="shared" si="4"/>
        <v>783593.14862086426</v>
      </c>
      <c r="F79" s="139">
        <f t="shared" si="7"/>
        <v>3.6666666666666665</v>
      </c>
      <c r="G79" s="231"/>
      <c r="H79" s="234"/>
    </row>
    <row r="80" spans="1:8" x14ac:dyDescent="0.2">
      <c r="A80" s="108">
        <v>45</v>
      </c>
      <c r="B80" s="121">
        <f t="shared" si="3"/>
        <v>67873876.759764314</v>
      </c>
      <c r="C80" s="119">
        <f t="shared" si="5"/>
        <v>1012451.3816488149</v>
      </c>
      <c r="D80" s="81">
        <f t="shared" si="6"/>
        <v>226246.25586588107</v>
      </c>
      <c r="E80" s="122">
        <f t="shared" si="4"/>
        <v>786205.12578293378</v>
      </c>
      <c r="F80" s="139">
        <f t="shared" si="7"/>
        <v>3.75</v>
      </c>
      <c r="G80" s="231"/>
      <c r="H80" s="234"/>
    </row>
    <row r="81" spans="1:10" x14ac:dyDescent="0.2">
      <c r="A81" s="108">
        <v>46</v>
      </c>
      <c r="B81" s="121">
        <f t="shared" si="3"/>
        <v>67087671.633981377</v>
      </c>
      <c r="C81" s="119">
        <f t="shared" si="5"/>
        <v>1012451.3816488149</v>
      </c>
      <c r="D81" s="81">
        <f t="shared" si="6"/>
        <v>223625.57211327128</v>
      </c>
      <c r="E81" s="122">
        <f t="shared" si="4"/>
        <v>788825.80953554367</v>
      </c>
      <c r="F81" s="139">
        <f t="shared" si="7"/>
        <v>3.8333333333333335</v>
      </c>
      <c r="G81" s="231"/>
      <c r="H81" s="234"/>
    </row>
    <row r="82" spans="1:10" x14ac:dyDescent="0.2">
      <c r="A82" s="108">
        <v>47</v>
      </c>
      <c r="B82" s="121">
        <f t="shared" si="3"/>
        <v>66298845.824445836</v>
      </c>
      <c r="C82" s="119">
        <f t="shared" si="5"/>
        <v>1012451.3816488149</v>
      </c>
      <c r="D82" s="81">
        <f t="shared" si="6"/>
        <v>220996.15274815279</v>
      </c>
      <c r="E82" s="122">
        <f t="shared" si="4"/>
        <v>791455.22890066216</v>
      </c>
      <c r="F82" s="139">
        <f t="shared" si="7"/>
        <v>3.9166666666666665</v>
      </c>
      <c r="G82" s="231"/>
      <c r="H82" s="234"/>
    </row>
    <row r="83" spans="1:10" ht="13.5" thickBot="1" x14ac:dyDescent="0.25">
      <c r="A83" s="108">
        <v>48</v>
      </c>
      <c r="B83" s="121">
        <f t="shared" si="3"/>
        <v>65507390.595545173</v>
      </c>
      <c r="C83" s="119">
        <f t="shared" si="5"/>
        <v>1012451.3816488149</v>
      </c>
      <c r="D83" s="81">
        <f t="shared" si="6"/>
        <v>218357.96865181727</v>
      </c>
      <c r="E83" s="122">
        <f t="shared" si="4"/>
        <v>794093.41299699759</v>
      </c>
      <c r="F83" s="140">
        <f t="shared" si="7"/>
        <v>4</v>
      </c>
      <c r="G83" s="232"/>
      <c r="H83" s="235"/>
    </row>
    <row r="84" spans="1:10" x14ac:dyDescent="0.2">
      <c r="A84" s="108">
        <v>49</v>
      </c>
      <c r="B84" s="121">
        <f t="shared" si="3"/>
        <v>64713297.182548173</v>
      </c>
      <c r="C84" s="119">
        <f t="shared" si="5"/>
        <v>1012451.3816488149</v>
      </c>
      <c r="D84" s="81">
        <f t="shared" si="6"/>
        <v>215710.99060849391</v>
      </c>
      <c r="E84" s="122">
        <f t="shared" si="4"/>
        <v>796740.39104032097</v>
      </c>
      <c r="F84" s="138">
        <f t="shared" si="7"/>
        <v>4.083333333333333</v>
      </c>
      <c r="G84" s="230">
        <f>+SUM(D84:D95)</f>
        <v>2411286.7285360135</v>
      </c>
      <c r="H84" s="233">
        <f>+SUM(E84:E95)</f>
        <v>9738129.8512497637</v>
      </c>
    </row>
    <row r="85" spans="1:10" x14ac:dyDescent="0.2">
      <c r="A85" s="108">
        <v>50</v>
      </c>
      <c r="B85" s="121">
        <f t="shared" si="3"/>
        <v>63916556.791507855</v>
      </c>
      <c r="C85" s="119">
        <f t="shared" si="5"/>
        <v>1012451.3816488149</v>
      </c>
      <c r="D85" s="81">
        <f t="shared" si="6"/>
        <v>213055.1893050262</v>
      </c>
      <c r="E85" s="122">
        <f t="shared" si="4"/>
        <v>799396.19234378869</v>
      </c>
      <c r="F85" s="139">
        <f t="shared" si="7"/>
        <v>4.166666666666667</v>
      </c>
      <c r="G85" s="231"/>
      <c r="H85" s="234"/>
    </row>
    <row r="86" spans="1:10" x14ac:dyDescent="0.2">
      <c r="A86" s="108">
        <v>51</v>
      </c>
      <c r="B86" s="121">
        <f t="shared" si="3"/>
        <v>63117160.599164069</v>
      </c>
      <c r="C86" s="119">
        <f t="shared" si="5"/>
        <v>1012451.3816488149</v>
      </c>
      <c r="D86" s="81">
        <f t="shared" si="6"/>
        <v>210390.5353305469</v>
      </c>
      <c r="E86" s="122">
        <f t="shared" si="4"/>
        <v>802060.84631826798</v>
      </c>
      <c r="F86" s="139">
        <f t="shared" si="7"/>
        <v>4.25</v>
      </c>
      <c r="G86" s="231"/>
      <c r="H86" s="234"/>
    </row>
    <row r="87" spans="1:10" x14ac:dyDescent="0.2">
      <c r="A87" s="108">
        <v>52</v>
      </c>
      <c r="B87" s="121">
        <f t="shared" si="3"/>
        <v>62315099.752845801</v>
      </c>
      <c r="C87" s="119">
        <f t="shared" si="5"/>
        <v>1012451.3816488149</v>
      </c>
      <c r="D87" s="81">
        <f t="shared" si="6"/>
        <v>207716.99917615269</v>
      </c>
      <c r="E87" s="122">
        <f t="shared" si="4"/>
        <v>804734.38247266226</v>
      </c>
      <c r="F87" s="139">
        <f t="shared" si="7"/>
        <v>4.333333333333333</v>
      </c>
      <c r="G87" s="231"/>
      <c r="H87" s="234"/>
    </row>
    <row r="88" spans="1:10" x14ac:dyDescent="0.2">
      <c r="A88" s="108">
        <v>53</v>
      </c>
      <c r="B88" s="121">
        <f t="shared" si="3"/>
        <v>61510365.370373137</v>
      </c>
      <c r="C88" s="119">
        <f t="shared" si="5"/>
        <v>1012451.3816488149</v>
      </c>
      <c r="D88" s="81">
        <f t="shared" si="6"/>
        <v>205034.55123457714</v>
      </c>
      <c r="E88" s="122">
        <f t="shared" si="4"/>
        <v>807416.83041423769</v>
      </c>
      <c r="F88" s="139">
        <f t="shared" si="7"/>
        <v>4.416666666666667</v>
      </c>
      <c r="G88" s="231"/>
      <c r="H88" s="234"/>
    </row>
    <row r="89" spans="1:10" x14ac:dyDescent="0.2">
      <c r="A89" s="108">
        <v>54</v>
      </c>
      <c r="B89" s="121">
        <f t="shared" si="3"/>
        <v>60702948.539958902</v>
      </c>
      <c r="C89" s="119">
        <f t="shared" si="5"/>
        <v>1012451.3816488149</v>
      </c>
      <c r="D89" s="81">
        <f t="shared" si="6"/>
        <v>202343.16179986301</v>
      </c>
      <c r="E89" s="122">
        <f t="shared" si="4"/>
        <v>810108.21984895191</v>
      </c>
      <c r="F89" s="139">
        <f t="shared" si="7"/>
        <v>4.5</v>
      </c>
      <c r="G89" s="231"/>
      <c r="H89" s="234"/>
    </row>
    <row r="90" spans="1:10" x14ac:dyDescent="0.2">
      <c r="A90" s="108">
        <v>55</v>
      </c>
      <c r="B90" s="121">
        <f t="shared" si="3"/>
        <v>59892840.320109949</v>
      </c>
      <c r="C90" s="119">
        <f t="shared" si="5"/>
        <v>1012451.3816488149</v>
      </c>
      <c r="D90" s="81">
        <f t="shared" si="6"/>
        <v>199642.80106703317</v>
      </c>
      <c r="E90" s="122">
        <f t="shared" si="4"/>
        <v>812808.58058178169</v>
      </c>
      <c r="F90" s="139">
        <f t="shared" si="7"/>
        <v>4.583333333333333</v>
      </c>
      <c r="G90" s="231"/>
      <c r="H90" s="234"/>
    </row>
    <row r="91" spans="1:10" x14ac:dyDescent="0.2">
      <c r="A91" s="108">
        <v>56</v>
      </c>
      <c r="B91" s="121">
        <f t="shared" si="3"/>
        <v>59080031.739528164</v>
      </c>
      <c r="C91" s="119">
        <f t="shared" si="5"/>
        <v>1012451.3816488149</v>
      </c>
      <c r="D91" s="81">
        <f t="shared" si="6"/>
        <v>196933.43913176056</v>
      </c>
      <c r="E91" s="122">
        <f t="shared" si="4"/>
        <v>815517.94251705427</v>
      </c>
      <c r="F91" s="139">
        <f t="shared" si="7"/>
        <v>4.666666666666667</v>
      </c>
      <c r="G91" s="231"/>
      <c r="H91" s="234"/>
    </row>
    <row r="92" spans="1:10" x14ac:dyDescent="0.2">
      <c r="A92" s="108">
        <v>57</v>
      </c>
      <c r="B92" s="121">
        <f t="shared" si="3"/>
        <v>58264513.797011107</v>
      </c>
      <c r="C92" s="119">
        <f t="shared" si="5"/>
        <v>1012451.3816488149</v>
      </c>
      <c r="D92" s="81">
        <f t="shared" si="6"/>
        <v>194215.04599003703</v>
      </c>
      <c r="E92" s="122">
        <f t="shared" si="4"/>
        <v>818236.33565877785</v>
      </c>
      <c r="F92" s="139">
        <f t="shared" si="7"/>
        <v>4.75</v>
      </c>
      <c r="G92" s="231"/>
      <c r="H92" s="234"/>
    </row>
    <row r="93" spans="1:10" x14ac:dyDescent="0.2">
      <c r="A93" s="108">
        <v>58</v>
      </c>
      <c r="B93" s="121">
        <f t="shared" si="3"/>
        <v>57446277.461352326</v>
      </c>
      <c r="C93" s="119">
        <f t="shared" si="5"/>
        <v>1012451.3816488149</v>
      </c>
      <c r="D93" s="81">
        <f t="shared" si="6"/>
        <v>191487.5915378411</v>
      </c>
      <c r="E93" s="122">
        <f t="shared" si="4"/>
        <v>820963.79011097376</v>
      </c>
      <c r="F93" s="139">
        <f t="shared" si="7"/>
        <v>4.833333333333333</v>
      </c>
      <c r="G93" s="231"/>
      <c r="H93" s="234"/>
    </row>
    <row r="94" spans="1:10" x14ac:dyDescent="0.2">
      <c r="A94" s="108">
        <v>59</v>
      </c>
      <c r="B94" s="121">
        <f t="shared" si="3"/>
        <v>56625313.67124135</v>
      </c>
      <c r="C94" s="119">
        <f t="shared" si="5"/>
        <v>1012451.3816488149</v>
      </c>
      <c r="D94" s="81">
        <f t="shared" si="6"/>
        <v>188751.0455708045</v>
      </c>
      <c r="E94" s="122">
        <f t="shared" si="4"/>
        <v>823700.33607801038</v>
      </c>
      <c r="F94" s="139">
        <f t="shared" si="7"/>
        <v>4.916666666666667</v>
      </c>
      <c r="G94" s="231"/>
      <c r="H94" s="234"/>
    </row>
    <row r="95" spans="1:10" ht="13.5" thickBot="1" x14ac:dyDescent="0.25">
      <c r="A95" s="109">
        <v>60</v>
      </c>
      <c r="B95" s="125">
        <f t="shared" si="3"/>
        <v>55801613.33516334</v>
      </c>
      <c r="C95" s="124">
        <f t="shared" si="5"/>
        <v>1012451.3816488149</v>
      </c>
      <c r="D95" s="123">
        <f t="shared" si="6"/>
        <v>186005.3777838778</v>
      </c>
      <c r="E95" s="126">
        <f t="shared" si="4"/>
        <v>826446.00386493711</v>
      </c>
      <c r="F95" s="140">
        <f t="shared" si="7"/>
        <v>5</v>
      </c>
      <c r="G95" s="232"/>
      <c r="H95" s="235"/>
    </row>
    <row r="96" spans="1:10" x14ac:dyDescent="0.2">
      <c r="A96" s="146">
        <v>61</v>
      </c>
      <c r="B96" s="125">
        <f t="shared" si="3"/>
        <v>54975167.331298403</v>
      </c>
      <c r="C96" s="169">
        <f t="shared" si="5"/>
        <v>1012451.3816488149</v>
      </c>
      <c r="D96" s="170">
        <f t="shared" si="6"/>
        <v>183250.5577709947</v>
      </c>
      <c r="E96" s="171">
        <f t="shared" si="4"/>
        <v>829200.82387782016</v>
      </c>
      <c r="F96" s="107"/>
      <c r="G96" s="101"/>
      <c r="H96" s="101"/>
      <c r="I96" s="101"/>
      <c r="J96" s="101"/>
    </row>
    <row r="97" spans="1:10" x14ac:dyDescent="0.2">
      <c r="A97" s="146">
        <v>62</v>
      </c>
      <c r="B97" s="168">
        <f t="shared" si="3"/>
        <v>54145966.507420585</v>
      </c>
      <c r="C97" s="169">
        <f t="shared" si="5"/>
        <v>1012451.3816488149</v>
      </c>
      <c r="D97" s="170">
        <f t="shared" si="6"/>
        <v>180486.55502473528</v>
      </c>
      <c r="E97" s="171">
        <f t="shared" si="4"/>
        <v>831964.82662407961</v>
      </c>
      <c r="F97" s="107"/>
    </row>
    <row r="98" spans="1:10" x14ac:dyDescent="0.2">
      <c r="A98" s="146">
        <v>63</v>
      </c>
      <c r="B98" s="168">
        <f t="shared" si="3"/>
        <v>53314001.680796504</v>
      </c>
      <c r="C98" s="169">
        <f t="shared" si="5"/>
        <v>1012451.3816488149</v>
      </c>
      <c r="D98" s="170">
        <f t="shared" si="6"/>
        <v>177713.33893598834</v>
      </c>
      <c r="E98" s="171">
        <f t="shared" si="4"/>
        <v>834738.04271282651</v>
      </c>
      <c r="F98" s="107"/>
    </row>
    <row r="99" spans="1:10" x14ac:dyDescent="0.2">
      <c r="A99" s="146">
        <v>64</v>
      </c>
      <c r="B99" s="168">
        <f t="shared" si="3"/>
        <v>52479263.638083674</v>
      </c>
      <c r="C99" s="169">
        <f t="shared" si="5"/>
        <v>1012451.3816488149</v>
      </c>
      <c r="D99" s="170">
        <f t="shared" si="6"/>
        <v>174930.87879361227</v>
      </c>
      <c r="E99" s="171">
        <f t="shared" si="4"/>
        <v>837520.50285520265</v>
      </c>
      <c r="F99" s="107"/>
    </row>
    <row r="100" spans="1:10" x14ac:dyDescent="0.2">
      <c r="A100" s="146">
        <v>65</v>
      </c>
      <c r="B100" s="168">
        <f t="shared" si="3"/>
        <v>51641743.13522847</v>
      </c>
      <c r="C100" s="169">
        <f t="shared" ref="C100:C131" si="8">+-PMT($C$29,120,+$B$36)</f>
        <v>1012451.3816488149</v>
      </c>
      <c r="D100" s="170">
        <f t="shared" ref="D100:D131" si="9">+B100*$C$29</f>
        <v>172139.14378409492</v>
      </c>
      <c r="E100" s="171">
        <f t="shared" si="4"/>
        <v>840312.23786471994</v>
      </c>
      <c r="F100" s="107"/>
    </row>
    <row r="101" spans="1:10" x14ac:dyDescent="0.2">
      <c r="A101" s="146">
        <v>66</v>
      </c>
      <c r="B101" s="168">
        <f t="shared" si="3"/>
        <v>50801430.897363752</v>
      </c>
      <c r="C101" s="169">
        <f t="shared" si="8"/>
        <v>1012451.3816488149</v>
      </c>
      <c r="D101" s="170">
        <f t="shared" si="9"/>
        <v>169338.10299121251</v>
      </c>
      <c r="E101" s="171">
        <f t="shared" si="4"/>
        <v>843113.27865760238</v>
      </c>
      <c r="F101" s="107"/>
    </row>
    <row r="102" spans="1:10" x14ac:dyDescent="0.2">
      <c r="A102" s="146">
        <v>67</v>
      </c>
      <c r="B102" s="168">
        <f t="shared" ref="B102:B155" si="10">+B101-E101</f>
        <v>49958317.618706152</v>
      </c>
      <c r="C102" s="169">
        <f t="shared" si="8"/>
        <v>1012451.3816488149</v>
      </c>
      <c r="D102" s="170">
        <f t="shared" si="9"/>
        <v>166527.72539568719</v>
      </c>
      <c r="E102" s="171">
        <f t="shared" ref="E102:E155" si="11">+C102-D102</f>
        <v>845923.65625312773</v>
      </c>
      <c r="F102" s="107"/>
    </row>
    <row r="103" spans="1:10" x14ac:dyDescent="0.2">
      <c r="A103" s="146">
        <v>68</v>
      </c>
      <c r="B103" s="168">
        <f t="shared" si="10"/>
        <v>49112393.962453023</v>
      </c>
      <c r="C103" s="169">
        <f t="shared" si="8"/>
        <v>1012451.3816488149</v>
      </c>
      <c r="D103" s="170">
        <f t="shared" si="9"/>
        <v>163707.97987484341</v>
      </c>
      <c r="E103" s="171">
        <f t="shared" si="11"/>
        <v>848743.40177397151</v>
      </c>
      <c r="F103" s="107"/>
    </row>
    <row r="104" spans="1:10" x14ac:dyDescent="0.2">
      <c r="A104" s="146">
        <v>69</v>
      </c>
      <c r="B104" s="168">
        <f t="shared" si="10"/>
        <v>48263650.560679048</v>
      </c>
      <c r="C104" s="169">
        <f t="shared" si="8"/>
        <v>1012451.3816488149</v>
      </c>
      <c r="D104" s="170">
        <f t="shared" si="9"/>
        <v>160878.83520226349</v>
      </c>
      <c r="E104" s="171">
        <f t="shared" si="11"/>
        <v>851572.54644655134</v>
      </c>
      <c r="F104" s="107"/>
    </row>
    <row r="105" spans="1:10" x14ac:dyDescent="0.2">
      <c r="A105" s="146">
        <v>70</v>
      </c>
      <c r="B105" s="168">
        <f t="shared" si="10"/>
        <v>47412078.014232494</v>
      </c>
      <c r="C105" s="169">
        <f t="shared" si="8"/>
        <v>1012451.3816488149</v>
      </c>
      <c r="D105" s="170">
        <f t="shared" si="9"/>
        <v>158040.26004744167</v>
      </c>
      <c r="E105" s="171">
        <f t="shared" si="11"/>
        <v>854411.12160137319</v>
      </c>
      <c r="F105" s="107"/>
    </row>
    <row r="106" spans="1:10" x14ac:dyDescent="0.2">
      <c r="A106" s="146">
        <v>71</v>
      </c>
      <c r="B106" s="168">
        <f t="shared" si="10"/>
        <v>46557666.892631121</v>
      </c>
      <c r="C106" s="169">
        <f t="shared" si="8"/>
        <v>1012451.3816488149</v>
      </c>
      <c r="D106" s="170">
        <f t="shared" si="9"/>
        <v>155192.22297543709</v>
      </c>
      <c r="E106" s="171">
        <f t="shared" si="11"/>
        <v>857259.15867337782</v>
      </c>
      <c r="F106" s="107"/>
    </row>
    <row r="107" spans="1:10" x14ac:dyDescent="0.2">
      <c r="A107" s="146">
        <v>72</v>
      </c>
      <c r="B107" s="168">
        <f t="shared" si="10"/>
        <v>45700407.733957745</v>
      </c>
      <c r="C107" s="169">
        <f t="shared" si="8"/>
        <v>1012451.3816488149</v>
      </c>
      <c r="D107" s="170">
        <f t="shared" si="9"/>
        <v>152334.69244652582</v>
      </c>
      <c r="E107" s="171">
        <f t="shared" si="11"/>
        <v>860116.6892022891</v>
      </c>
      <c r="F107" s="107"/>
    </row>
    <row r="108" spans="1:10" x14ac:dyDescent="0.2">
      <c r="A108" s="146">
        <v>73</v>
      </c>
      <c r="B108" s="168">
        <f t="shared" si="10"/>
        <v>44840291.044755459</v>
      </c>
      <c r="C108" s="169">
        <f t="shared" si="8"/>
        <v>1012451.3816488149</v>
      </c>
      <c r="D108" s="170">
        <f t="shared" si="9"/>
        <v>149467.63681585153</v>
      </c>
      <c r="E108" s="171">
        <f t="shared" si="11"/>
        <v>862983.74483296333</v>
      </c>
      <c r="F108" s="107"/>
      <c r="G108" s="101"/>
      <c r="H108" s="101"/>
      <c r="I108" s="101"/>
      <c r="J108" s="101"/>
    </row>
    <row r="109" spans="1:10" x14ac:dyDescent="0.2">
      <c r="A109" s="146">
        <v>74</v>
      </c>
      <c r="B109" s="168">
        <f t="shared" si="10"/>
        <v>43977307.299922496</v>
      </c>
      <c r="C109" s="169">
        <f t="shared" si="8"/>
        <v>1012451.3816488149</v>
      </c>
      <c r="D109" s="170">
        <f t="shared" si="9"/>
        <v>146591.02433307501</v>
      </c>
      <c r="E109" s="171">
        <f t="shared" si="11"/>
        <v>865860.35731573985</v>
      </c>
      <c r="F109" s="107"/>
    </row>
    <row r="110" spans="1:10" x14ac:dyDescent="0.2">
      <c r="A110" s="146">
        <v>75</v>
      </c>
      <c r="B110" s="168">
        <f t="shared" si="10"/>
        <v>43111446.942606755</v>
      </c>
      <c r="C110" s="169">
        <f t="shared" si="8"/>
        <v>1012451.3816488149</v>
      </c>
      <c r="D110" s="170">
        <f t="shared" si="9"/>
        <v>143704.82314202253</v>
      </c>
      <c r="E110" s="171">
        <f t="shared" si="11"/>
        <v>868746.55850679241</v>
      </c>
      <c r="F110" s="107"/>
    </row>
    <row r="111" spans="1:10" x14ac:dyDescent="0.2">
      <c r="A111" s="146">
        <v>76</v>
      </c>
      <c r="B111" s="168">
        <f t="shared" si="10"/>
        <v>42242700.38409996</v>
      </c>
      <c r="C111" s="169">
        <f t="shared" si="8"/>
        <v>1012451.3816488149</v>
      </c>
      <c r="D111" s="170">
        <f t="shared" si="9"/>
        <v>140809.00128033321</v>
      </c>
      <c r="E111" s="171">
        <f t="shared" si="11"/>
        <v>871642.38036848162</v>
      </c>
      <c r="F111" s="107"/>
    </row>
    <row r="112" spans="1:10" x14ac:dyDescent="0.2">
      <c r="A112" s="146">
        <v>77</v>
      </c>
      <c r="B112" s="168">
        <f t="shared" si="10"/>
        <v>41371058.003731482</v>
      </c>
      <c r="C112" s="169">
        <f t="shared" si="8"/>
        <v>1012451.3816488149</v>
      </c>
      <c r="D112" s="170">
        <f t="shared" si="9"/>
        <v>137903.52667910495</v>
      </c>
      <c r="E112" s="171">
        <f t="shared" si="11"/>
        <v>874547.85496970988</v>
      </c>
      <c r="F112" s="107"/>
    </row>
    <row r="113" spans="1:10" x14ac:dyDescent="0.2">
      <c r="A113" s="146">
        <v>78</v>
      </c>
      <c r="B113" s="168">
        <f t="shared" si="10"/>
        <v>40496510.148761772</v>
      </c>
      <c r="C113" s="169">
        <f t="shared" si="8"/>
        <v>1012451.3816488149</v>
      </c>
      <c r="D113" s="170">
        <f t="shared" si="9"/>
        <v>134988.36716253925</v>
      </c>
      <c r="E113" s="171">
        <f t="shared" si="11"/>
        <v>877463.01448627561</v>
      </c>
      <c r="F113" s="107"/>
    </row>
    <row r="114" spans="1:10" x14ac:dyDescent="0.2">
      <c r="A114" s="146">
        <v>79</v>
      </c>
      <c r="B114" s="168">
        <f t="shared" si="10"/>
        <v>39619047.134275496</v>
      </c>
      <c r="C114" s="169">
        <f t="shared" si="8"/>
        <v>1012451.3816488149</v>
      </c>
      <c r="D114" s="170">
        <f t="shared" si="9"/>
        <v>132063.49044758501</v>
      </c>
      <c r="E114" s="171">
        <f t="shared" si="11"/>
        <v>880387.89120122988</v>
      </c>
      <c r="F114" s="107"/>
    </row>
    <row r="115" spans="1:10" x14ac:dyDescent="0.2">
      <c r="A115" s="146">
        <v>80</v>
      </c>
      <c r="B115" s="168">
        <f t="shared" si="10"/>
        <v>38738659.243074268</v>
      </c>
      <c r="C115" s="169">
        <f t="shared" si="8"/>
        <v>1012451.3816488149</v>
      </c>
      <c r="D115" s="170">
        <f t="shared" si="9"/>
        <v>129128.8641435809</v>
      </c>
      <c r="E115" s="171">
        <f t="shared" si="11"/>
        <v>883322.51750523399</v>
      </c>
      <c r="F115" s="107"/>
    </row>
    <row r="116" spans="1:10" x14ac:dyDescent="0.2">
      <c r="A116" s="146">
        <v>81</v>
      </c>
      <c r="B116" s="168">
        <f t="shared" si="10"/>
        <v>37855336.725569032</v>
      </c>
      <c r="C116" s="169">
        <f t="shared" si="8"/>
        <v>1012451.3816488149</v>
      </c>
      <c r="D116" s="170">
        <f t="shared" si="9"/>
        <v>126184.45575189678</v>
      </c>
      <c r="E116" s="171">
        <f t="shared" si="11"/>
        <v>886266.92589691817</v>
      </c>
      <c r="F116" s="107"/>
    </row>
    <row r="117" spans="1:10" x14ac:dyDescent="0.2">
      <c r="A117" s="146">
        <v>82</v>
      </c>
      <c r="B117" s="168">
        <f t="shared" si="10"/>
        <v>36969069.799672112</v>
      </c>
      <c r="C117" s="169">
        <f t="shared" si="8"/>
        <v>1012451.3816488149</v>
      </c>
      <c r="D117" s="170">
        <f t="shared" si="9"/>
        <v>123230.23266557371</v>
      </c>
      <c r="E117" s="171">
        <f t="shared" si="11"/>
        <v>889221.14898324118</v>
      </c>
      <c r="F117" s="107"/>
    </row>
    <row r="118" spans="1:10" x14ac:dyDescent="0.2">
      <c r="A118" s="146">
        <v>83</v>
      </c>
      <c r="B118" s="168">
        <f t="shared" si="10"/>
        <v>36079848.650688872</v>
      </c>
      <c r="C118" s="169">
        <f t="shared" si="8"/>
        <v>1012451.3816488149</v>
      </c>
      <c r="D118" s="170">
        <f t="shared" si="9"/>
        <v>120266.16216896291</v>
      </c>
      <c r="E118" s="171">
        <f t="shared" si="11"/>
        <v>892185.21947985201</v>
      </c>
      <c r="F118" s="107"/>
    </row>
    <row r="119" spans="1:10" x14ac:dyDescent="0.2">
      <c r="A119" s="146">
        <v>84</v>
      </c>
      <c r="B119" s="168">
        <f t="shared" si="10"/>
        <v>35187663.43120902</v>
      </c>
      <c r="C119" s="169">
        <f t="shared" si="8"/>
        <v>1012451.3816488149</v>
      </c>
      <c r="D119" s="170">
        <f t="shared" si="9"/>
        <v>117292.21143736341</v>
      </c>
      <c r="E119" s="171">
        <f t="shared" si="11"/>
        <v>895159.17021145148</v>
      </c>
      <c r="F119" s="107"/>
    </row>
    <row r="120" spans="1:10" x14ac:dyDescent="0.2">
      <c r="A120" s="146">
        <v>85</v>
      </c>
      <c r="B120" s="168">
        <f t="shared" si="10"/>
        <v>34292504.260997571</v>
      </c>
      <c r="C120" s="169">
        <f t="shared" si="8"/>
        <v>1012451.3816488149</v>
      </c>
      <c r="D120" s="170">
        <f t="shared" si="9"/>
        <v>114308.34753665858</v>
      </c>
      <c r="E120" s="171">
        <f t="shared" si="11"/>
        <v>898143.03411215637</v>
      </c>
      <c r="F120" s="107"/>
      <c r="G120" s="101"/>
      <c r="H120" s="101"/>
      <c r="I120" s="101"/>
      <c r="J120" s="101"/>
    </row>
    <row r="121" spans="1:10" x14ac:dyDescent="0.2">
      <c r="A121" s="146">
        <v>86</v>
      </c>
      <c r="B121" s="168">
        <f t="shared" si="10"/>
        <v>33394361.226885416</v>
      </c>
      <c r="C121" s="169">
        <f t="shared" si="8"/>
        <v>1012451.3816488149</v>
      </c>
      <c r="D121" s="170">
        <f t="shared" si="9"/>
        <v>111314.5374229514</v>
      </c>
      <c r="E121" s="171">
        <f t="shared" si="11"/>
        <v>901136.84422586346</v>
      </c>
      <c r="F121" s="107"/>
    </row>
    <row r="122" spans="1:10" x14ac:dyDescent="0.2">
      <c r="A122" s="146">
        <v>87</v>
      </c>
      <c r="B122" s="168">
        <f t="shared" si="10"/>
        <v>32493224.382659551</v>
      </c>
      <c r="C122" s="169">
        <f t="shared" si="8"/>
        <v>1012451.3816488149</v>
      </c>
      <c r="D122" s="170">
        <f t="shared" si="9"/>
        <v>108310.7479421985</v>
      </c>
      <c r="E122" s="171">
        <f t="shared" si="11"/>
        <v>904140.63370661635</v>
      </c>
      <c r="F122" s="107"/>
    </row>
    <row r="123" spans="1:10" x14ac:dyDescent="0.2">
      <c r="A123" s="146">
        <v>88</v>
      </c>
      <c r="B123" s="168">
        <f t="shared" si="10"/>
        <v>31589083.748952933</v>
      </c>
      <c r="C123" s="169">
        <f t="shared" si="8"/>
        <v>1012451.3816488149</v>
      </c>
      <c r="D123" s="170">
        <f t="shared" si="9"/>
        <v>105296.94582984311</v>
      </c>
      <c r="E123" s="171">
        <f t="shared" si="11"/>
        <v>907154.43581897183</v>
      </c>
      <c r="F123" s="107"/>
    </row>
    <row r="124" spans="1:10" x14ac:dyDescent="0.2">
      <c r="A124" s="146">
        <v>89</v>
      </c>
      <c r="B124" s="168">
        <f t="shared" si="10"/>
        <v>30681929.313133962</v>
      </c>
      <c r="C124" s="169">
        <f t="shared" si="8"/>
        <v>1012451.3816488149</v>
      </c>
      <c r="D124" s="170">
        <f t="shared" si="9"/>
        <v>102273.09771044654</v>
      </c>
      <c r="E124" s="171">
        <f t="shared" si="11"/>
        <v>910178.28393836832</v>
      </c>
      <c r="F124" s="107"/>
    </row>
    <row r="125" spans="1:10" x14ac:dyDescent="0.2">
      <c r="A125" s="146">
        <v>90</v>
      </c>
      <c r="B125" s="168">
        <f t="shared" si="10"/>
        <v>29771751.029195596</v>
      </c>
      <c r="C125" s="169">
        <f t="shared" si="8"/>
        <v>1012451.3816488149</v>
      </c>
      <c r="D125" s="170">
        <f t="shared" si="9"/>
        <v>99239.170097318653</v>
      </c>
      <c r="E125" s="171">
        <f t="shared" si="11"/>
        <v>913212.21155149629</v>
      </c>
      <c r="F125" s="107"/>
    </row>
    <row r="126" spans="1:10" x14ac:dyDescent="0.2">
      <c r="A126" s="146">
        <v>91</v>
      </c>
      <c r="B126" s="168">
        <f t="shared" si="10"/>
        <v>28858538.817644101</v>
      </c>
      <c r="C126" s="169">
        <f t="shared" si="8"/>
        <v>1012451.3816488149</v>
      </c>
      <c r="D126" s="170">
        <f t="shared" si="9"/>
        <v>96195.129392147006</v>
      </c>
      <c r="E126" s="171">
        <f t="shared" si="11"/>
        <v>916256.25225666794</v>
      </c>
      <c r="F126" s="107"/>
    </row>
    <row r="127" spans="1:10" x14ac:dyDescent="0.2">
      <c r="A127" s="146">
        <v>92</v>
      </c>
      <c r="B127" s="168">
        <f t="shared" si="10"/>
        <v>27942282.565387432</v>
      </c>
      <c r="C127" s="169">
        <f t="shared" si="8"/>
        <v>1012451.3816488149</v>
      </c>
      <c r="D127" s="170">
        <f t="shared" si="9"/>
        <v>93140.941884624772</v>
      </c>
      <c r="E127" s="171">
        <f t="shared" si="11"/>
        <v>919310.43976419012</v>
      </c>
      <c r="F127" s="107"/>
    </row>
    <row r="128" spans="1:10" x14ac:dyDescent="0.2">
      <c r="A128" s="146">
        <v>93</v>
      </c>
      <c r="B128" s="168">
        <f t="shared" si="10"/>
        <v>27022972.125623241</v>
      </c>
      <c r="C128" s="169">
        <f t="shared" si="8"/>
        <v>1012451.3816488149</v>
      </c>
      <c r="D128" s="170">
        <f t="shared" si="9"/>
        <v>90076.573752077471</v>
      </c>
      <c r="E128" s="171">
        <f t="shared" si="11"/>
        <v>922374.80789673747</v>
      </c>
      <c r="F128" s="107"/>
    </row>
    <row r="129" spans="1:12" x14ac:dyDescent="0.2">
      <c r="A129" s="146">
        <v>94</v>
      </c>
      <c r="B129" s="168">
        <f t="shared" si="10"/>
        <v>26100597.317726504</v>
      </c>
      <c r="C129" s="169">
        <f t="shared" si="8"/>
        <v>1012451.3816488149</v>
      </c>
      <c r="D129" s="170">
        <f t="shared" si="9"/>
        <v>87001.991059088352</v>
      </c>
      <c r="E129" s="171">
        <f t="shared" si="11"/>
        <v>925449.39058972651</v>
      </c>
      <c r="F129" s="107"/>
    </row>
    <row r="130" spans="1:12" x14ac:dyDescent="0.2">
      <c r="A130" s="146">
        <v>95</v>
      </c>
      <c r="B130" s="168">
        <f t="shared" si="10"/>
        <v>25175147.927136779</v>
      </c>
      <c r="C130" s="169">
        <f t="shared" si="8"/>
        <v>1012451.3816488149</v>
      </c>
      <c r="D130" s="170">
        <f t="shared" si="9"/>
        <v>83917.159757122601</v>
      </c>
      <c r="E130" s="171">
        <f t="shared" si="11"/>
        <v>928534.22189169226</v>
      </c>
      <c r="F130" s="107"/>
    </row>
    <row r="131" spans="1:12" x14ac:dyDescent="0.2">
      <c r="A131" s="146">
        <v>96</v>
      </c>
      <c r="B131" s="168">
        <f t="shared" si="10"/>
        <v>24246613.705245085</v>
      </c>
      <c r="C131" s="169">
        <f t="shared" si="8"/>
        <v>1012451.3816488149</v>
      </c>
      <c r="D131" s="170">
        <f t="shared" si="9"/>
        <v>80822.045684150289</v>
      </c>
      <c r="E131" s="171">
        <f t="shared" si="11"/>
        <v>931629.33596466458</v>
      </c>
      <c r="F131" s="107"/>
    </row>
    <row r="132" spans="1:12" x14ac:dyDescent="0.2">
      <c r="A132" s="146">
        <v>97</v>
      </c>
      <c r="B132" s="168">
        <f t="shared" si="10"/>
        <v>23314984.36928042</v>
      </c>
      <c r="C132" s="169">
        <f t="shared" ref="C132:C155" si="12">+-PMT($C$29,120,+$B$36)</f>
        <v>1012451.3816488149</v>
      </c>
      <c r="D132" s="170">
        <f t="shared" ref="D132:D155" si="13">+B132*$C$29</f>
        <v>77716.614564268079</v>
      </c>
      <c r="E132" s="171">
        <f t="shared" si="11"/>
        <v>934734.76708454685</v>
      </c>
      <c r="F132" s="107"/>
      <c r="G132" s="101"/>
      <c r="H132" s="101"/>
      <c r="I132" s="101"/>
      <c r="J132" s="101"/>
    </row>
    <row r="133" spans="1:12" x14ac:dyDescent="0.2">
      <c r="A133" s="146">
        <v>98</v>
      </c>
      <c r="B133" s="168">
        <f t="shared" si="10"/>
        <v>22380249.602195874</v>
      </c>
      <c r="C133" s="169">
        <f t="shared" si="12"/>
        <v>1012451.3816488149</v>
      </c>
      <c r="D133" s="170">
        <f t="shared" si="13"/>
        <v>74600.832007319579</v>
      </c>
      <c r="E133" s="171">
        <f t="shared" si="11"/>
        <v>937850.54964149534</v>
      </c>
      <c r="F133" s="107"/>
    </row>
    <row r="134" spans="1:12" x14ac:dyDescent="0.2">
      <c r="A134" s="146">
        <v>99</v>
      </c>
      <c r="B134" s="168">
        <f t="shared" si="10"/>
        <v>21442399.05255438</v>
      </c>
      <c r="C134" s="169">
        <f t="shared" si="12"/>
        <v>1012451.3816488149</v>
      </c>
      <c r="D134" s="170">
        <f t="shared" si="13"/>
        <v>71474.663508514612</v>
      </c>
      <c r="E134" s="171">
        <f t="shared" si="11"/>
        <v>940976.71814030025</v>
      </c>
      <c r="F134" s="107"/>
    </row>
    <row r="135" spans="1:12" x14ac:dyDescent="0.2">
      <c r="A135" s="146">
        <v>100</v>
      </c>
      <c r="B135" s="168">
        <f t="shared" si="10"/>
        <v>20501422.33441408</v>
      </c>
      <c r="C135" s="169">
        <f t="shared" si="12"/>
        <v>1012451.3816488149</v>
      </c>
      <c r="D135" s="170">
        <f t="shared" si="13"/>
        <v>68338.074448046944</v>
      </c>
      <c r="E135" s="171">
        <f t="shared" si="11"/>
        <v>944113.30720076791</v>
      </c>
      <c r="F135" s="107"/>
    </row>
    <row r="136" spans="1:12" x14ac:dyDescent="0.2">
      <c r="A136" s="146">
        <v>101</v>
      </c>
      <c r="B136" s="168">
        <f t="shared" si="10"/>
        <v>19557309.027213313</v>
      </c>
      <c r="C136" s="169">
        <f t="shared" si="12"/>
        <v>1012451.3816488149</v>
      </c>
      <c r="D136" s="170">
        <f t="shared" si="13"/>
        <v>65191.030090711043</v>
      </c>
      <c r="E136" s="171">
        <f t="shared" si="11"/>
        <v>947260.35155810381</v>
      </c>
      <c r="F136" s="107"/>
    </row>
    <row r="137" spans="1:12" x14ac:dyDescent="0.2">
      <c r="A137" s="146">
        <v>102</v>
      </c>
      <c r="B137" s="168">
        <f t="shared" si="10"/>
        <v>18610048.675655209</v>
      </c>
      <c r="C137" s="169">
        <f t="shared" si="12"/>
        <v>1012451.3816488149</v>
      </c>
      <c r="D137" s="170">
        <f t="shared" si="13"/>
        <v>62033.495585517368</v>
      </c>
      <c r="E137" s="171">
        <f t="shared" si="11"/>
        <v>950417.88606329751</v>
      </c>
      <c r="F137" s="107"/>
    </row>
    <row r="138" spans="1:12" x14ac:dyDescent="0.2">
      <c r="A138" s="146">
        <v>103</v>
      </c>
      <c r="B138" s="168">
        <f t="shared" si="10"/>
        <v>17659630.789591912</v>
      </c>
      <c r="C138" s="169">
        <f t="shared" si="12"/>
        <v>1012451.3816488149</v>
      </c>
      <c r="D138" s="170">
        <f t="shared" si="13"/>
        <v>58865.43596530638</v>
      </c>
      <c r="E138" s="171">
        <f t="shared" si="11"/>
        <v>953585.94568350853</v>
      </c>
      <c r="F138" s="107"/>
    </row>
    <row r="139" spans="1:12" x14ac:dyDescent="0.2">
      <c r="A139" s="146">
        <v>104</v>
      </c>
      <c r="B139" s="168">
        <f t="shared" si="10"/>
        <v>16706044.843908403</v>
      </c>
      <c r="C139" s="169">
        <f t="shared" si="12"/>
        <v>1012451.3816488149</v>
      </c>
      <c r="D139" s="170">
        <f t="shared" si="13"/>
        <v>55686.816146361351</v>
      </c>
      <c r="E139" s="171">
        <f t="shared" si="11"/>
        <v>956764.5655024536</v>
      </c>
      <c r="F139" s="200"/>
      <c r="G139" s="200"/>
      <c r="H139" s="107"/>
    </row>
    <row r="140" spans="1:12" x14ac:dyDescent="0.2">
      <c r="A140" s="146">
        <v>105</v>
      </c>
      <c r="B140" s="168">
        <f t="shared" si="10"/>
        <v>15749280.278405949</v>
      </c>
      <c r="C140" s="169">
        <f t="shared" si="12"/>
        <v>1012451.3816488149</v>
      </c>
      <c r="D140" s="170">
        <f t="shared" si="13"/>
        <v>52497.600928019834</v>
      </c>
      <c r="E140" s="171">
        <f t="shared" si="11"/>
        <v>959953.78072079504</v>
      </c>
      <c r="F140" s="200"/>
      <c r="G140" s="200"/>
      <c r="H140" s="107"/>
    </row>
    <row r="141" spans="1:12" x14ac:dyDescent="0.2">
      <c r="A141" s="146">
        <v>106</v>
      </c>
      <c r="B141" s="168">
        <f t="shared" si="10"/>
        <v>14789326.497685155</v>
      </c>
      <c r="C141" s="169">
        <f t="shared" si="12"/>
        <v>1012451.3816488149</v>
      </c>
      <c r="D141" s="170">
        <f t="shared" si="13"/>
        <v>49297.754992283852</v>
      </c>
      <c r="E141" s="171">
        <f t="shared" si="11"/>
        <v>963153.62665653101</v>
      </c>
      <c r="F141" s="200"/>
      <c r="G141" s="200"/>
      <c r="H141" s="107"/>
    </row>
    <row r="142" spans="1:12" x14ac:dyDescent="0.2">
      <c r="A142" s="146">
        <v>107</v>
      </c>
      <c r="B142" s="168">
        <f t="shared" si="10"/>
        <v>13826172.871028624</v>
      </c>
      <c r="C142" s="169">
        <f t="shared" si="12"/>
        <v>1012451.3816488149</v>
      </c>
      <c r="D142" s="170">
        <f t="shared" si="13"/>
        <v>46087.242903428749</v>
      </c>
      <c r="E142" s="171">
        <f t="shared" si="11"/>
        <v>966364.13874538615</v>
      </c>
      <c r="F142" s="200"/>
      <c r="G142" s="200"/>
      <c r="H142" s="107"/>
    </row>
    <row r="143" spans="1:12" x14ac:dyDescent="0.2">
      <c r="A143" s="146">
        <v>108</v>
      </c>
      <c r="B143" s="168">
        <f t="shared" si="10"/>
        <v>12859808.732283238</v>
      </c>
      <c r="C143" s="169">
        <f t="shared" si="12"/>
        <v>1012451.3816488149</v>
      </c>
      <c r="D143" s="170">
        <f t="shared" si="13"/>
        <v>42866.029107610797</v>
      </c>
      <c r="E143" s="171">
        <f t="shared" si="11"/>
        <v>969585.35254120408</v>
      </c>
      <c r="F143" s="200"/>
      <c r="G143" s="200"/>
      <c r="H143" s="107"/>
      <c r="I143" s="101"/>
      <c r="J143" s="101"/>
      <c r="K143" s="101"/>
      <c r="L143" s="101"/>
    </row>
    <row r="144" spans="1:12" x14ac:dyDescent="0.2">
      <c r="A144" s="146">
        <v>109</v>
      </c>
      <c r="B144" s="168">
        <f t="shared" si="10"/>
        <v>11890223.379742034</v>
      </c>
      <c r="C144" s="169">
        <f t="shared" si="12"/>
        <v>1012451.3816488149</v>
      </c>
      <c r="D144" s="170">
        <f t="shared" si="13"/>
        <v>39634.077932473447</v>
      </c>
      <c r="E144" s="171">
        <f t="shared" si="11"/>
        <v>972817.3037163415</v>
      </c>
      <c r="F144" s="200"/>
      <c r="G144" s="200"/>
      <c r="H144" s="107"/>
    </row>
    <row r="145" spans="1:8" x14ac:dyDescent="0.2">
      <c r="A145" s="146">
        <v>110</v>
      </c>
      <c r="B145" s="168">
        <f t="shared" si="10"/>
        <v>10917406.076025693</v>
      </c>
      <c r="C145" s="169">
        <f t="shared" si="12"/>
        <v>1012451.3816488149</v>
      </c>
      <c r="D145" s="170">
        <f t="shared" si="13"/>
        <v>36391.35358675231</v>
      </c>
      <c r="E145" s="171">
        <f t="shared" si="11"/>
        <v>976060.02806206257</v>
      </c>
      <c r="F145" s="200"/>
      <c r="G145" s="200"/>
      <c r="H145" s="107"/>
    </row>
    <row r="146" spans="1:8" x14ac:dyDescent="0.2">
      <c r="A146" s="146">
        <v>111</v>
      </c>
      <c r="B146" s="168">
        <f t="shared" si="10"/>
        <v>9941346.0479636304</v>
      </c>
      <c r="C146" s="169">
        <f t="shared" si="12"/>
        <v>1012451.3816488149</v>
      </c>
      <c r="D146" s="170">
        <f t="shared" si="13"/>
        <v>33137.820159878771</v>
      </c>
      <c r="E146" s="171">
        <f t="shared" si="11"/>
        <v>979313.56148893607</v>
      </c>
      <c r="F146" s="200"/>
      <c r="G146" s="200"/>
      <c r="H146" s="107"/>
    </row>
    <row r="147" spans="1:8" x14ac:dyDescent="0.2">
      <c r="A147" s="146">
        <v>112</v>
      </c>
      <c r="B147" s="168">
        <f t="shared" si="10"/>
        <v>8962032.4864746947</v>
      </c>
      <c r="C147" s="169">
        <f t="shared" si="12"/>
        <v>1012451.3816488149</v>
      </c>
      <c r="D147" s="170">
        <f t="shared" si="13"/>
        <v>29873.441621582318</v>
      </c>
      <c r="E147" s="171">
        <f t="shared" si="11"/>
        <v>982577.94002723251</v>
      </c>
      <c r="F147" s="200"/>
      <c r="G147" s="200"/>
      <c r="H147" s="107"/>
    </row>
    <row r="148" spans="1:8" x14ac:dyDescent="0.2">
      <c r="A148" s="146">
        <v>113</v>
      </c>
      <c r="B148" s="168">
        <f t="shared" si="10"/>
        <v>7979454.5464474624</v>
      </c>
      <c r="C148" s="169">
        <f t="shared" si="12"/>
        <v>1012451.3816488149</v>
      </c>
      <c r="D148" s="170">
        <f t="shared" si="13"/>
        <v>26598.181821491544</v>
      </c>
      <c r="E148" s="171">
        <f t="shared" si="11"/>
        <v>985853.19982732332</v>
      </c>
      <c r="F148" s="200"/>
      <c r="G148" s="200"/>
      <c r="H148" s="107"/>
    </row>
    <row r="149" spans="1:8" x14ac:dyDescent="0.2">
      <c r="A149" s="146">
        <v>114</v>
      </c>
      <c r="B149" s="168">
        <f t="shared" si="10"/>
        <v>6993601.3466201387</v>
      </c>
      <c r="C149" s="169">
        <f t="shared" si="12"/>
        <v>1012451.3816488149</v>
      </c>
      <c r="D149" s="170">
        <f t="shared" si="13"/>
        <v>23312.004488733797</v>
      </c>
      <c r="E149" s="171">
        <f t="shared" si="11"/>
        <v>989139.37716008106</v>
      </c>
      <c r="F149" s="200"/>
      <c r="G149" s="200"/>
      <c r="H149" s="107"/>
    </row>
    <row r="150" spans="1:8" x14ac:dyDescent="0.2">
      <c r="A150" s="146">
        <v>115</v>
      </c>
      <c r="B150" s="168">
        <f t="shared" si="10"/>
        <v>6004461.969460058</v>
      </c>
      <c r="C150" s="169">
        <f t="shared" si="12"/>
        <v>1012451.3816488149</v>
      </c>
      <c r="D150" s="170">
        <f t="shared" si="13"/>
        <v>20014.873231533529</v>
      </c>
      <c r="E150" s="171">
        <f t="shared" si="11"/>
        <v>992436.50841728132</v>
      </c>
      <c r="F150" s="200"/>
      <c r="G150" s="200"/>
      <c r="H150" s="107"/>
    </row>
    <row r="151" spans="1:8" x14ac:dyDescent="0.2">
      <c r="A151" s="146">
        <v>116</v>
      </c>
      <c r="B151" s="168">
        <f t="shared" si="10"/>
        <v>5012025.4610427767</v>
      </c>
      <c r="C151" s="169">
        <f t="shared" si="12"/>
        <v>1012451.3816488149</v>
      </c>
      <c r="D151" s="170">
        <f t="shared" si="13"/>
        <v>16706.751536809257</v>
      </c>
      <c r="E151" s="171">
        <f t="shared" si="11"/>
        <v>995744.63011200563</v>
      </c>
      <c r="F151" s="200"/>
      <c r="G151" s="200"/>
      <c r="H151" s="107"/>
    </row>
    <row r="152" spans="1:8" x14ac:dyDescent="0.2">
      <c r="A152" s="146">
        <v>117</v>
      </c>
      <c r="B152" s="168">
        <f t="shared" si="10"/>
        <v>4016280.8309307713</v>
      </c>
      <c r="C152" s="169">
        <f t="shared" si="12"/>
        <v>1012451.3816488149</v>
      </c>
      <c r="D152" s="170">
        <f t="shared" si="13"/>
        <v>13387.602769769239</v>
      </c>
      <c r="E152" s="171">
        <f t="shared" si="11"/>
        <v>999063.77887904563</v>
      </c>
      <c r="F152" s="200"/>
      <c r="G152" s="200"/>
      <c r="H152" s="107"/>
    </row>
    <row r="153" spans="1:8" x14ac:dyDescent="0.2">
      <c r="A153" s="146">
        <v>118</v>
      </c>
      <c r="B153" s="168">
        <f t="shared" si="10"/>
        <v>3017217.0520517258</v>
      </c>
      <c r="C153" s="169">
        <f t="shared" si="12"/>
        <v>1012451.3816488149</v>
      </c>
      <c r="D153" s="170">
        <f t="shared" si="13"/>
        <v>10057.390173505753</v>
      </c>
      <c r="E153" s="171">
        <f t="shared" si="11"/>
        <v>1002393.9914753091</v>
      </c>
      <c r="F153" s="200"/>
      <c r="G153" s="200"/>
      <c r="H153" s="107"/>
    </row>
    <row r="154" spans="1:8" x14ac:dyDescent="0.2">
      <c r="A154" s="146">
        <v>119</v>
      </c>
      <c r="B154" s="168">
        <f t="shared" si="10"/>
        <v>2014823.0605764166</v>
      </c>
      <c r="C154" s="169">
        <f t="shared" si="12"/>
        <v>1012451.3816488149</v>
      </c>
      <c r="D154" s="170">
        <f t="shared" si="13"/>
        <v>6716.0768685880557</v>
      </c>
      <c r="E154" s="171">
        <f t="shared" si="11"/>
        <v>1005735.3047802268</v>
      </c>
      <c r="F154" s="200"/>
      <c r="G154" s="200"/>
      <c r="H154" s="107"/>
    </row>
    <row r="155" spans="1:8" ht="13.5" thickBot="1" x14ac:dyDescent="0.25">
      <c r="A155" s="152">
        <v>120</v>
      </c>
      <c r="B155" s="172">
        <f t="shared" si="10"/>
        <v>1009087.7557961898</v>
      </c>
      <c r="C155" s="173">
        <f t="shared" si="12"/>
        <v>1012451.3816488149</v>
      </c>
      <c r="D155" s="174">
        <f t="shared" si="13"/>
        <v>3363.6258526539659</v>
      </c>
      <c r="E155" s="175">
        <f t="shared" si="11"/>
        <v>1009087.7557961609</v>
      </c>
      <c r="F155" s="200"/>
      <c r="G155" s="200"/>
      <c r="H155" s="107"/>
    </row>
  </sheetData>
  <mergeCells count="20">
    <mergeCell ref="G37:G38"/>
    <mergeCell ref="H37:H38"/>
    <mergeCell ref="G39:G41"/>
    <mergeCell ref="H39:H41"/>
    <mergeCell ref="A34:E34"/>
    <mergeCell ref="F34:H34"/>
    <mergeCell ref="G42:G44"/>
    <mergeCell ref="H42:H44"/>
    <mergeCell ref="G48:G53"/>
    <mergeCell ref="H48:H53"/>
    <mergeCell ref="H45:H47"/>
    <mergeCell ref="G45:G47"/>
    <mergeCell ref="G60:G71"/>
    <mergeCell ref="H60:H71"/>
    <mergeCell ref="G54:G59"/>
    <mergeCell ref="H54:H59"/>
    <mergeCell ref="G84:G95"/>
    <mergeCell ref="H84:H95"/>
    <mergeCell ref="G72:G83"/>
    <mergeCell ref="H72:H8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T165"/>
  <sheetViews>
    <sheetView zoomScale="85" zoomScaleNormal="85" workbookViewId="0">
      <selection activeCell="F2" sqref="F2:G2"/>
    </sheetView>
  </sheetViews>
  <sheetFormatPr defaultRowHeight="12.75" x14ac:dyDescent="0.2"/>
  <cols>
    <col min="1" max="1" width="21" customWidth="1"/>
    <col min="2" max="2" width="20.7109375" bestFit="1" customWidth="1"/>
    <col min="3" max="3" width="18.140625" bestFit="1" customWidth="1"/>
    <col min="4" max="4" width="13" bestFit="1" customWidth="1"/>
    <col min="5" max="5" width="14.5703125" bestFit="1" customWidth="1"/>
    <col min="6" max="7" width="14.5703125" customWidth="1"/>
    <col min="8" max="8" width="25.42578125" customWidth="1"/>
    <col min="9" max="9" width="26.7109375" customWidth="1"/>
    <col min="10" max="10" width="25.28515625" bestFit="1" customWidth="1"/>
    <col min="11" max="12" width="17.28515625" bestFit="1" customWidth="1"/>
    <col min="13" max="13" width="16.28515625" bestFit="1" customWidth="1"/>
    <col min="14" max="14" width="12" bestFit="1" customWidth="1"/>
    <col min="15" max="15" width="13.85546875" bestFit="1" customWidth="1"/>
    <col min="16" max="16" width="7.7109375" bestFit="1" customWidth="1"/>
    <col min="17" max="20" width="16.28515625" bestFit="1" customWidth="1"/>
  </cols>
  <sheetData>
    <row r="1" spans="1:16" ht="80.25" customHeight="1" thickBot="1" x14ac:dyDescent="0.25"/>
    <row r="2" spans="1:16" ht="52.5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6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6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6" ht="13.5" thickTop="1" x14ac:dyDescent="0.2">
      <c r="A5" s="51" t="s">
        <v>36</v>
      </c>
      <c r="B5" s="39" t="s">
        <v>57</v>
      </c>
      <c r="C5" s="52" t="s">
        <v>58</v>
      </c>
      <c r="D5" s="52" t="s">
        <v>60</v>
      </c>
      <c r="E5" s="41" t="s">
        <v>74</v>
      </c>
      <c r="F5" s="41" t="s">
        <v>143</v>
      </c>
      <c r="G5" s="203" t="s">
        <v>146</v>
      </c>
      <c r="H5" s="96">
        <f>+O46</f>
        <v>583333.33333333337</v>
      </c>
      <c r="I5" s="96"/>
      <c r="J5" s="96">
        <f>+Q46</f>
        <v>583333.33333333337</v>
      </c>
      <c r="K5" s="97"/>
    </row>
    <row r="6" spans="1:16" x14ac:dyDescent="0.2">
      <c r="A6" s="51" t="s">
        <v>36</v>
      </c>
      <c r="B6" s="39" t="s">
        <v>57</v>
      </c>
      <c r="C6" s="52" t="s">
        <v>58</v>
      </c>
      <c r="D6" s="52" t="s">
        <v>60</v>
      </c>
      <c r="E6" s="41" t="s">
        <v>61</v>
      </c>
      <c r="F6" s="41" t="s">
        <v>143</v>
      </c>
      <c r="G6" s="203" t="s">
        <v>146</v>
      </c>
      <c r="H6" s="96">
        <f>+O47</f>
        <v>1156150.9113466679</v>
      </c>
      <c r="I6" s="96"/>
      <c r="J6" s="96">
        <f>+Q47</f>
        <v>1156536.3565384883</v>
      </c>
      <c r="K6" s="97"/>
      <c r="O6" s="47"/>
    </row>
    <row r="7" spans="1:16" x14ac:dyDescent="0.2">
      <c r="A7" s="51" t="s">
        <v>36</v>
      </c>
      <c r="B7" s="39" t="s">
        <v>57</v>
      </c>
      <c r="C7" s="52" t="s">
        <v>58</v>
      </c>
      <c r="D7" s="52" t="s">
        <v>60</v>
      </c>
      <c r="E7" s="41" t="s">
        <v>62</v>
      </c>
      <c r="F7" s="41" t="s">
        <v>143</v>
      </c>
      <c r="G7" s="203" t="s">
        <v>146</v>
      </c>
      <c r="H7" s="96">
        <f>+O49</f>
        <v>1706237.151540583</v>
      </c>
      <c r="I7" s="96"/>
      <c r="J7" s="96">
        <f>+Q49</f>
        <v>1709182.1412809123</v>
      </c>
      <c r="K7" s="97"/>
    </row>
    <row r="8" spans="1:16" x14ac:dyDescent="0.2">
      <c r="A8" s="51" t="s">
        <v>36</v>
      </c>
      <c r="B8" s="39" t="s">
        <v>57</v>
      </c>
      <c r="C8" s="52" t="s">
        <v>58</v>
      </c>
      <c r="D8" s="52" t="s">
        <v>60</v>
      </c>
      <c r="E8" s="41" t="s">
        <v>63</v>
      </c>
      <c r="F8" s="41" t="s">
        <v>143</v>
      </c>
      <c r="G8" s="203" t="s">
        <v>146</v>
      </c>
      <c r="H8" s="96">
        <f>+O52</f>
        <v>1670018.4133325235</v>
      </c>
      <c r="I8" s="96"/>
      <c r="J8" s="96">
        <f>+Q52</f>
        <v>1677954.4218110745</v>
      </c>
      <c r="K8" s="97"/>
    </row>
    <row r="9" spans="1:16" x14ac:dyDescent="0.2">
      <c r="A9" s="51" t="s">
        <v>36</v>
      </c>
      <c r="B9" s="39" t="s">
        <v>57</v>
      </c>
      <c r="C9" s="52" t="s">
        <v>58</v>
      </c>
      <c r="D9" s="52" t="s">
        <v>60</v>
      </c>
      <c r="E9" s="41" t="s">
        <v>64</v>
      </c>
      <c r="F9" s="41" t="s">
        <v>143</v>
      </c>
      <c r="G9" s="203" t="s">
        <v>146</v>
      </c>
      <c r="H9" s="96">
        <f>+O55</f>
        <v>1630971.8754062231</v>
      </c>
      <c r="I9" s="96"/>
      <c r="J9" s="96">
        <f>+Q55</f>
        <v>1646177.0232222602</v>
      </c>
      <c r="K9" s="97"/>
    </row>
    <row r="10" spans="1:16" x14ac:dyDescent="0.2">
      <c r="A10" s="51" t="s">
        <v>36</v>
      </c>
      <c r="B10" s="39" t="s">
        <v>57</v>
      </c>
      <c r="C10" s="52" t="s">
        <v>58</v>
      </c>
      <c r="D10" s="52" t="s">
        <v>60</v>
      </c>
      <c r="E10" s="41" t="s">
        <v>65</v>
      </c>
      <c r="F10" s="41" t="s">
        <v>143</v>
      </c>
      <c r="G10" s="203" t="s">
        <v>146</v>
      </c>
      <c r="H10" s="96">
        <f>+O58</f>
        <v>3134303.2592384531</v>
      </c>
      <c r="I10" s="96"/>
      <c r="J10" s="96">
        <f>+Q58</f>
        <v>3194774.5858555795</v>
      </c>
      <c r="K10" s="97"/>
    </row>
    <row r="11" spans="1:16" x14ac:dyDescent="0.2">
      <c r="A11" s="51" t="s">
        <v>36</v>
      </c>
      <c r="B11" s="39" t="s">
        <v>57</v>
      </c>
      <c r="C11" s="52" t="s">
        <v>58</v>
      </c>
      <c r="D11" s="52" t="s">
        <v>60</v>
      </c>
      <c r="E11" s="41" t="s">
        <v>66</v>
      </c>
      <c r="F11" s="41" t="s">
        <v>143</v>
      </c>
      <c r="G11" s="203" t="s">
        <v>146</v>
      </c>
      <c r="H11" s="96">
        <f>+O64</f>
        <v>2948427.4759393274</v>
      </c>
      <c r="I11" s="96"/>
      <c r="J11" s="96">
        <f>+Q64</f>
        <v>3060823.6949230162</v>
      </c>
      <c r="K11" s="97"/>
    </row>
    <row r="12" spans="1:16" x14ac:dyDescent="0.2">
      <c r="A12" s="51" t="s">
        <v>36</v>
      </c>
      <c r="B12" s="39" t="s">
        <v>57</v>
      </c>
      <c r="C12" s="52" t="s">
        <v>58</v>
      </c>
      <c r="D12" s="52" t="s">
        <v>60</v>
      </c>
      <c r="E12" s="41" t="s">
        <v>67</v>
      </c>
      <c r="F12" s="41" t="s">
        <v>143</v>
      </c>
      <c r="G12" s="203" t="s">
        <v>146</v>
      </c>
      <c r="H12" s="96">
        <f>+O70</f>
        <v>5281187.1547591481</v>
      </c>
      <c r="I12" s="96"/>
      <c r="J12" s="96">
        <f>+Q70</f>
        <v>5700597.0242031422</v>
      </c>
      <c r="K12" s="97"/>
    </row>
    <row r="13" spans="1:16" x14ac:dyDescent="0.2">
      <c r="A13" s="51" t="s">
        <v>36</v>
      </c>
      <c r="B13" s="39" t="s">
        <v>57</v>
      </c>
      <c r="C13" s="52" t="s">
        <v>58</v>
      </c>
      <c r="D13" s="52" t="s">
        <v>60</v>
      </c>
      <c r="E13" s="41" t="s">
        <v>68</v>
      </c>
      <c r="F13" s="41" t="s">
        <v>143</v>
      </c>
      <c r="G13" s="203" t="s">
        <v>146</v>
      </c>
      <c r="H13" s="96">
        <f>+O82</f>
        <v>4448942.7452019015</v>
      </c>
      <c r="I13" s="96"/>
      <c r="J13" s="96">
        <f>+Q82</f>
        <v>5105474.6819145381</v>
      </c>
      <c r="K13" s="97"/>
      <c r="O13" s="47"/>
      <c r="P13" s="100"/>
    </row>
    <row r="14" spans="1:16" x14ac:dyDescent="0.2">
      <c r="A14" s="51" t="s">
        <v>36</v>
      </c>
      <c r="B14" s="39" t="s">
        <v>57</v>
      </c>
      <c r="C14" s="52" t="s">
        <v>58</v>
      </c>
      <c r="D14" s="52" t="s">
        <v>60</v>
      </c>
      <c r="E14" s="41" t="s">
        <v>107</v>
      </c>
      <c r="F14" s="41" t="s">
        <v>143</v>
      </c>
      <c r="G14" s="203" t="s">
        <v>146</v>
      </c>
      <c r="H14" s="96">
        <f>+O94</f>
        <v>3659798.0238290131</v>
      </c>
      <c r="I14" s="96"/>
      <c r="J14" s="96">
        <f>+Q94</f>
        <v>4467330.8973825369</v>
      </c>
      <c r="K14" s="97"/>
      <c r="O14" s="47"/>
      <c r="P14" s="49"/>
    </row>
    <row r="15" spans="1:16" x14ac:dyDescent="0.2">
      <c r="A15" s="51" t="s">
        <v>36</v>
      </c>
      <c r="B15" s="39" t="s">
        <v>57</v>
      </c>
      <c r="C15" s="52" t="s">
        <v>58</v>
      </c>
      <c r="D15" s="52" t="s">
        <v>60</v>
      </c>
      <c r="E15" s="41" t="s">
        <v>98</v>
      </c>
      <c r="F15" s="41" t="s">
        <v>143</v>
      </c>
      <c r="G15" s="203" t="s">
        <v>146</v>
      </c>
      <c r="H15" s="96">
        <f>+O106</f>
        <v>2913849.033461479</v>
      </c>
      <c r="I15" s="96"/>
      <c r="J15" s="96">
        <f>+Q106</f>
        <v>3783055.647068812</v>
      </c>
      <c r="K15" s="97"/>
      <c r="O15" s="47"/>
      <c r="P15" s="49"/>
    </row>
    <row r="16" spans="1:16" x14ac:dyDescent="0.2">
      <c r="A16" s="51" t="s">
        <v>36</v>
      </c>
      <c r="B16" s="39" t="s">
        <v>57</v>
      </c>
      <c r="C16" s="52" t="s">
        <v>58</v>
      </c>
      <c r="D16" s="52" t="s">
        <v>60</v>
      </c>
      <c r="E16" s="41" t="s">
        <v>122</v>
      </c>
      <c r="F16" s="41" t="s">
        <v>143</v>
      </c>
      <c r="G16" s="203" t="s">
        <v>146</v>
      </c>
      <c r="H16" s="96">
        <f>+O118</f>
        <v>2208471.0031550569</v>
      </c>
      <c r="I16" s="96"/>
      <c r="J16" s="96">
        <f>+Q118</f>
        <v>3049314.0835819878</v>
      </c>
      <c r="K16" s="97"/>
      <c r="O16" s="47"/>
      <c r="P16" s="49"/>
    </row>
    <row r="17" spans="1:16" x14ac:dyDescent="0.2">
      <c r="A17" s="51" t="s">
        <v>36</v>
      </c>
      <c r="B17" s="39" t="s">
        <v>57</v>
      </c>
      <c r="C17" s="52" t="s">
        <v>58</v>
      </c>
      <c r="D17" s="52" t="s">
        <v>60</v>
      </c>
      <c r="E17" s="41" t="s">
        <v>123</v>
      </c>
      <c r="F17" s="41" t="s">
        <v>143</v>
      </c>
      <c r="G17" s="203" t="s">
        <v>146</v>
      </c>
      <c r="H17" s="96">
        <f>+O130</f>
        <v>1541196.385568457</v>
      </c>
      <c r="I17" s="96"/>
      <c r="J17" s="96">
        <f>+Q130</f>
        <v>2262530.2831431199</v>
      </c>
      <c r="K17" s="97"/>
      <c r="O17" s="47"/>
      <c r="P17" s="49"/>
    </row>
    <row r="18" spans="1:16" x14ac:dyDescent="0.2">
      <c r="A18" s="51" t="s">
        <v>36</v>
      </c>
      <c r="B18" s="39" t="s">
        <v>57</v>
      </c>
      <c r="C18" s="52" t="s">
        <v>58</v>
      </c>
      <c r="D18" s="52" t="s">
        <v>60</v>
      </c>
      <c r="E18" s="41" t="s">
        <v>124</v>
      </c>
      <c r="F18" s="41" t="s">
        <v>143</v>
      </c>
      <c r="G18" s="203" t="s">
        <v>146</v>
      </c>
      <c r="H18" s="96">
        <f>+O142</f>
        <v>909705.42145837226</v>
      </c>
      <c r="I18" s="96"/>
      <c r="J18" s="96">
        <f>+Q142</f>
        <v>1418869.8181541509</v>
      </c>
      <c r="K18" s="97"/>
      <c r="O18" s="47"/>
      <c r="P18" s="49"/>
    </row>
    <row r="19" spans="1:16" x14ac:dyDescent="0.2">
      <c r="A19" s="51" t="s">
        <v>36</v>
      </c>
      <c r="B19" s="39" t="s">
        <v>57</v>
      </c>
      <c r="C19" s="52" t="s">
        <v>58</v>
      </c>
      <c r="D19" s="52" t="s">
        <v>60</v>
      </c>
      <c r="E19" s="41" t="s">
        <v>125</v>
      </c>
      <c r="F19" s="41" t="s">
        <v>143</v>
      </c>
      <c r="G19" s="203" t="s">
        <v>146</v>
      </c>
      <c r="H19" s="96">
        <f>+O154</f>
        <v>311817.27028818463</v>
      </c>
      <c r="I19" s="96"/>
      <c r="J19" s="96">
        <f>+Q154</f>
        <v>514221.06993591931</v>
      </c>
      <c r="K19" s="97"/>
      <c r="O19" s="47"/>
      <c r="P19" s="49"/>
    </row>
    <row r="20" spans="1:16" x14ac:dyDescent="0.2">
      <c r="A20" s="51" t="s">
        <v>36</v>
      </c>
      <c r="B20" s="39" t="s">
        <v>57</v>
      </c>
      <c r="C20" s="52" t="s">
        <v>58</v>
      </c>
      <c r="D20" s="52" t="s">
        <v>59</v>
      </c>
      <c r="E20" s="41" t="s">
        <v>74</v>
      </c>
      <c r="F20" s="41" t="s">
        <v>143</v>
      </c>
      <c r="G20" s="203" t="s">
        <v>146</v>
      </c>
      <c r="H20" s="96">
        <f>+P46</f>
        <v>594337.04255712149</v>
      </c>
      <c r="I20" s="96"/>
      <c r="J20" s="96">
        <f>+R46</f>
        <v>577751.45885290729</v>
      </c>
      <c r="K20" s="97"/>
      <c r="O20" s="47"/>
      <c r="P20" s="49"/>
    </row>
    <row r="21" spans="1:16" x14ac:dyDescent="0.2">
      <c r="A21" s="51" t="s">
        <v>36</v>
      </c>
      <c r="B21" s="39" t="s">
        <v>57</v>
      </c>
      <c r="C21" s="52" t="s">
        <v>58</v>
      </c>
      <c r="D21" s="52" t="s">
        <v>59</v>
      </c>
      <c r="E21" s="41" t="s">
        <v>61</v>
      </c>
      <c r="F21" s="41" t="s">
        <v>143</v>
      </c>
      <c r="G21" s="203" t="s">
        <v>146</v>
      </c>
      <c r="H21" s="96">
        <f>+P47</f>
        <v>1247484.9720115685</v>
      </c>
      <c r="I21" s="96"/>
      <c r="J21" s="96">
        <f>+R47</f>
        <v>1165633.227833993</v>
      </c>
      <c r="K21" s="97"/>
      <c r="O21" s="47"/>
      <c r="P21" s="49"/>
    </row>
    <row r="22" spans="1:16" x14ac:dyDescent="0.2">
      <c r="A22" s="51" t="s">
        <v>36</v>
      </c>
      <c r="B22" s="39" t="s">
        <v>57</v>
      </c>
      <c r="C22" s="52" t="s">
        <v>58</v>
      </c>
      <c r="D22" s="52" t="s">
        <v>59</v>
      </c>
      <c r="E22" s="41" t="s">
        <v>62</v>
      </c>
      <c r="F22" s="41" t="s">
        <v>143</v>
      </c>
      <c r="G22" s="203" t="s">
        <v>146</v>
      </c>
      <c r="H22" s="96">
        <f>+P49</f>
        <v>2014201.2319383072</v>
      </c>
      <c r="I22" s="96"/>
      <c r="J22" s="96">
        <f>+R49</f>
        <v>1774072.2352778097</v>
      </c>
      <c r="K22" s="97"/>
      <c r="O22" s="47"/>
      <c r="P22" s="49"/>
    </row>
    <row r="23" spans="1:16" x14ac:dyDescent="0.2">
      <c r="A23" s="51" t="s">
        <v>36</v>
      </c>
      <c r="B23" s="39" t="s">
        <v>57</v>
      </c>
      <c r="C23" s="52" t="s">
        <v>58</v>
      </c>
      <c r="D23" s="52" t="s">
        <v>59</v>
      </c>
      <c r="E23" s="41" t="s">
        <v>63</v>
      </c>
      <c r="F23" s="41" t="s">
        <v>143</v>
      </c>
      <c r="G23" s="203" t="s">
        <v>146</v>
      </c>
      <c r="H23" s="96">
        <f>+P52</f>
        <v>2178663.0319330464</v>
      </c>
      <c r="I23" s="96"/>
      <c r="J23" s="96">
        <f>+R52</f>
        <v>1805299.9547476475</v>
      </c>
      <c r="K23" s="97"/>
      <c r="O23" s="47"/>
      <c r="P23" s="49"/>
    </row>
    <row r="24" spans="1:16" x14ac:dyDescent="0.2">
      <c r="A24" s="51" t="s">
        <v>36</v>
      </c>
      <c r="B24" s="39" t="s">
        <v>57</v>
      </c>
      <c r="C24" s="52" t="s">
        <v>58</v>
      </c>
      <c r="D24" s="52" t="s">
        <v>59</v>
      </c>
      <c r="E24" s="41" t="s">
        <v>64</v>
      </c>
      <c r="F24" s="41" t="s">
        <v>143</v>
      </c>
      <c r="G24" s="203" t="s">
        <v>146</v>
      </c>
      <c r="H24" s="96">
        <f>+P55</f>
        <v>2334312.011469027</v>
      </c>
      <c r="I24" s="96"/>
      <c r="J24" s="96">
        <f>+R55</f>
        <v>1837077.3533364618</v>
      </c>
      <c r="K24" s="97"/>
      <c r="O24" s="47"/>
      <c r="P24" s="49"/>
    </row>
    <row r="25" spans="1:16" x14ac:dyDescent="0.2">
      <c r="A25" s="51" t="s">
        <v>36</v>
      </c>
      <c r="B25" s="39" t="s">
        <v>57</v>
      </c>
      <c r="C25" s="52" t="s">
        <v>58</v>
      </c>
      <c r="D25" s="52" t="s">
        <v>59</v>
      </c>
      <c r="E25" s="41" t="s">
        <v>65</v>
      </c>
      <c r="F25" s="41" t="s">
        <v>143</v>
      </c>
      <c r="G25" s="203" t="s">
        <v>146</v>
      </c>
      <c r="H25" s="96">
        <f>+P58</f>
        <v>5096186.3273263024</v>
      </c>
      <c r="I25" s="96"/>
      <c r="J25" s="96">
        <f>+R58</f>
        <v>3771734.1672618641</v>
      </c>
      <c r="K25" s="97"/>
      <c r="O25" s="47"/>
      <c r="P25" s="49"/>
    </row>
    <row r="26" spans="1:16" x14ac:dyDescent="0.2">
      <c r="A26" s="51" t="s">
        <v>36</v>
      </c>
      <c r="B26" s="39" t="s">
        <v>57</v>
      </c>
      <c r="C26" s="52" t="s">
        <v>58</v>
      </c>
      <c r="D26" s="52" t="s">
        <v>59</v>
      </c>
      <c r="E26" s="41" t="s">
        <v>66</v>
      </c>
      <c r="F26" s="41" t="s">
        <v>143</v>
      </c>
      <c r="G26" s="203" t="s">
        <v>146</v>
      </c>
      <c r="H26" s="96">
        <f>+P64</f>
        <v>5593303.6185697354</v>
      </c>
      <c r="I26" s="96"/>
      <c r="J26" s="96">
        <f>+R64</f>
        <v>3905685.0581944282</v>
      </c>
      <c r="K26" s="97"/>
    </row>
    <row r="27" spans="1:16" x14ac:dyDescent="0.2">
      <c r="A27" s="51" t="s">
        <v>36</v>
      </c>
      <c r="B27" s="39" t="s">
        <v>57</v>
      </c>
      <c r="C27" s="52" t="s">
        <v>58</v>
      </c>
      <c r="D27" s="52" t="s">
        <v>59</v>
      </c>
      <c r="E27" s="41" t="s">
        <v>67</v>
      </c>
      <c r="F27" s="41" t="s">
        <v>143</v>
      </c>
      <c r="G27" s="203" t="s">
        <v>146</v>
      </c>
      <c r="H27" s="96">
        <f>+P70</f>
        <v>12029070.059782717</v>
      </c>
      <c r="I27" s="96"/>
      <c r="J27" s="96">
        <f>+R70</f>
        <v>8232420.4820317458</v>
      </c>
      <c r="K27" s="97"/>
    </row>
    <row r="28" spans="1:16" x14ac:dyDescent="0.2">
      <c r="A28" s="51" t="s">
        <v>36</v>
      </c>
      <c r="B28" s="39" t="s">
        <v>57</v>
      </c>
      <c r="C28" s="52" t="s">
        <v>58</v>
      </c>
      <c r="D28" s="52" t="s">
        <v>59</v>
      </c>
      <c r="E28" s="41" t="s">
        <v>68</v>
      </c>
      <c r="F28" s="41" t="s">
        <v>143</v>
      </c>
      <c r="G28" s="203" t="s">
        <v>146</v>
      </c>
      <c r="H28" s="96">
        <f>+P82</f>
        <v>11567808.439288566</v>
      </c>
      <c r="I28" s="96"/>
      <c r="J28" s="96">
        <f>+R82</f>
        <v>8827542.8243203498</v>
      </c>
      <c r="K28" s="97"/>
      <c r="O28" s="47"/>
      <c r="P28" s="49"/>
    </row>
    <row r="29" spans="1:16" x14ac:dyDescent="0.2">
      <c r="A29" s="51" t="s">
        <v>36</v>
      </c>
      <c r="B29" s="39" t="s">
        <v>57</v>
      </c>
      <c r="C29" s="52" t="s">
        <v>58</v>
      </c>
      <c r="D29" s="52" t="s">
        <v>59</v>
      </c>
      <c r="E29" s="41" t="s">
        <v>107</v>
      </c>
      <c r="F29" s="41" t="s">
        <v>143</v>
      </c>
      <c r="G29" s="203" t="s">
        <v>146</v>
      </c>
      <c r="H29" s="96">
        <f>+P94</f>
        <v>10932852.666240469</v>
      </c>
      <c r="I29" s="96"/>
      <c r="J29" s="96">
        <f>+R94</f>
        <v>9465686.6088523529</v>
      </c>
      <c r="K29" s="97"/>
      <c r="O29" s="47"/>
      <c r="P29" s="49"/>
    </row>
    <row r="30" spans="1:16" x14ac:dyDescent="0.2">
      <c r="A30" s="51" t="s">
        <v>36</v>
      </c>
      <c r="B30" s="39" t="s">
        <v>57</v>
      </c>
      <c r="C30" s="52" t="s">
        <v>58</v>
      </c>
      <c r="D30" s="52" t="s">
        <v>59</v>
      </c>
      <c r="E30" s="41" t="s">
        <v>98</v>
      </c>
      <c r="F30" s="41" t="s">
        <v>143</v>
      </c>
      <c r="G30" s="203" t="s">
        <v>146</v>
      </c>
      <c r="H30" s="96">
        <f>+P106</f>
        <v>10336464.343991024</v>
      </c>
      <c r="I30" s="96"/>
      <c r="J30" s="96">
        <f>+R106</f>
        <v>10149961.859166075</v>
      </c>
      <c r="K30" s="97"/>
      <c r="O30" s="47"/>
      <c r="P30" s="49"/>
    </row>
    <row r="31" spans="1:16" x14ac:dyDescent="0.2">
      <c r="A31" s="51" t="s">
        <v>36</v>
      </c>
      <c r="B31" s="39" t="s">
        <v>57</v>
      </c>
      <c r="C31" s="52" t="s">
        <v>58</v>
      </c>
      <c r="D31" s="52" t="s">
        <v>59</v>
      </c>
      <c r="E31" s="41" t="s">
        <v>122</v>
      </c>
      <c r="F31" s="41" t="s">
        <v>143</v>
      </c>
      <c r="G31" s="203" t="s">
        <v>146</v>
      </c>
      <c r="H31" s="96">
        <f>+P118</f>
        <v>9776333.1640804317</v>
      </c>
      <c r="I31" s="96"/>
      <c r="J31" s="96">
        <f>+R118</f>
        <v>10883703.422652898</v>
      </c>
      <c r="K31" s="97"/>
      <c r="O31" s="47"/>
      <c r="P31" s="49"/>
    </row>
    <row r="32" spans="1:16" x14ac:dyDescent="0.2">
      <c r="A32" s="51" t="s">
        <v>36</v>
      </c>
      <c r="B32" s="39" t="s">
        <v>57</v>
      </c>
      <c r="C32" s="52" t="s">
        <v>58</v>
      </c>
      <c r="D32" s="52" t="s">
        <v>59</v>
      </c>
      <c r="E32" s="41" t="s">
        <v>123</v>
      </c>
      <c r="F32" s="41" t="s">
        <v>143</v>
      </c>
      <c r="G32" s="203" t="s">
        <v>146</v>
      </c>
      <c r="H32" s="96">
        <f>+P130</f>
        <v>9250287.4662882388</v>
      </c>
      <c r="I32" s="96"/>
      <c r="J32" s="96">
        <f>+R130</f>
        <v>11670487.223091766</v>
      </c>
      <c r="K32" s="97"/>
      <c r="O32" s="47"/>
      <c r="P32" s="49"/>
    </row>
    <row r="33" spans="1:20" x14ac:dyDescent="0.2">
      <c r="A33" s="51" t="s">
        <v>36</v>
      </c>
      <c r="B33" s="39" t="s">
        <v>57</v>
      </c>
      <c r="C33" s="52" t="s">
        <v>58</v>
      </c>
      <c r="D33" s="52" t="s">
        <v>59</v>
      </c>
      <c r="E33" s="41" t="s">
        <v>124</v>
      </c>
      <c r="F33" s="41" t="s">
        <v>143</v>
      </c>
      <c r="G33" s="203" t="s">
        <v>146</v>
      </c>
      <c r="H33" s="96">
        <f>+P142</f>
        <v>8756285.919975454</v>
      </c>
      <c r="I33" s="96"/>
      <c r="J33" s="96">
        <f>+R142</f>
        <v>12514147.688080737</v>
      </c>
      <c r="K33" s="97"/>
      <c r="O33" s="47"/>
      <c r="P33" s="49"/>
    </row>
    <row r="34" spans="1:20" ht="13.5" thickBot="1" x14ac:dyDescent="0.25">
      <c r="A34" s="50" t="s">
        <v>36</v>
      </c>
      <c r="B34" s="50" t="s">
        <v>57</v>
      </c>
      <c r="C34" s="50" t="s">
        <v>58</v>
      </c>
      <c r="D34" s="50" t="s">
        <v>59</v>
      </c>
      <c r="E34" s="50" t="s">
        <v>125</v>
      </c>
      <c r="F34" s="99" t="s">
        <v>143</v>
      </c>
      <c r="G34" s="211" t="s">
        <v>146</v>
      </c>
      <c r="H34" s="55">
        <f>+P154</f>
        <v>8292409.7045479845</v>
      </c>
      <c r="I34" s="55"/>
      <c r="J34" s="55">
        <f>+R154</f>
        <v>13418796.436298968</v>
      </c>
      <c r="K34" s="56"/>
    </row>
    <row r="35" spans="1:20" x14ac:dyDescent="0.2">
      <c r="E35" s="102"/>
      <c r="F35" s="102"/>
      <c r="G35" s="102"/>
      <c r="H35" s="102"/>
      <c r="I35" s="102"/>
    </row>
    <row r="36" spans="1:20" x14ac:dyDescent="0.2">
      <c r="A36" s="77" t="s">
        <v>40</v>
      </c>
      <c r="B36" s="78" t="s">
        <v>113</v>
      </c>
      <c r="E36" s="102"/>
      <c r="F36" s="102"/>
      <c r="G36" s="102"/>
      <c r="H36" s="102"/>
      <c r="I36" s="102"/>
    </row>
    <row r="37" spans="1:20" x14ac:dyDescent="0.2">
      <c r="A37" s="77" t="s">
        <v>19</v>
      </c>
      <c r="B37" s="78" t="s">
        <v>36</v>
      </c>
      <c r="E37" s="102"/>
      <c r="F37" s="102"/>
      <c r="G37" s="102"/>
      <c r="H37" s="102"/>
      <c r="I37" s="102"/>
    </row>
    <row r="38" spans="1:20" x14ac:dyDescent="0.2">
      <c r="A38" s="77" t="s">
        <v>85</v>
      </c>
      <c r="B38" s="78" t="s">
        <v>96</v>
      </c>
    </row>
    <row r="39" spans="1:20" x14ac:dyDescent="0.2">
      <c r="A39" s="77" t="s">
        <v>44</v>
      </c>
      <c r="B39" s="114">
        <v>7.0000000000000007E-2</v>
      </c>
      <c r="C39" s="115">
        <f>+B39/12</f>
        <v>5.8333333333333336E-3</v>
      </c>
    </row>
    <row r="40" spans="1:20" x14ac:dyDescent="0.2">
      <c r="A40" s="77" t="s">
        <v>17</v>
      </c>
      <c r="B40" s="78" t="s">
        <v>121</v>
      </c>
      <c r="D40" s="110"/>
    </row>
    <row r="41" spans="1:20" x14ac:dyDescent="0.2">
      <c r="A41" s="77" t="s">
        <v>41</v>
      </c>
      <c r="B41" s="78" t="s">
        <v>70</v>
      </c>
      <c r="I41" s="33"/>
      <c r="J41" s="49"/>
    </row>
    <row r="42" spans="1:20" ht="27.75" customHeight="1" thickBot="1" x14ac:dyDescent="0.25">
      <c r="A42" s="116" t="s">
        <v>115</v>
      </c>
      <c r="B42" s="78" t="s">
        <v>112</v>
      </c>
      <c r="H42" s="113"/>
      <c r="J42" s="49"/>
      <c r="K42" s="100"/>
      <c r="L42" s="100"/>
      <c r="M42" s="49"/>
    </row>
    <row r="43" spans="1:20" ht="13.5" thickBot="1" x14ac:dyDescent="0.25">
      <c r="P43" s="242" t="s">
        <v>106</v>
      </c>
      <c r="Q43" s="243"/>
      <c r="R43" s="243"/>
      <c r="S43" s="243"/>
      <c r="T43" s="244"/>
    </row>
    <row r="44" spans="1:20" s="141" customFormat="1" x14ac:dyDescent="0.2">
      <c r="A44" s="245" t="s">
        <v>99</v>
      </c>
      <c r="B44" s="246"/>
      <c r="C44" s="246"/>
      <c r="D44" s="246"/>
      <c r="E44" s="246"/>
      <c r="F44" s="246"/>
      <c r="G44" s="246"/>
      <c r="H44" s="246"/>
      <c r="I44" s="247"/>
      <c r="J44" s="248" t="s">
        <v>100</v>
      </c>
      <c r="K44" s="249"/>
      <c r="L44" s="249"/>
      <c r="M44" s="250"/>
      <c r="N44" s="159"/>
      <c r="O44" s="249" t="s">
        <v>108</v>
      </c>
      <c r="P44" s="249"/>
      <c r="Q44" s="249" t="s">
        <v>109</v>
      </c>
      <c r="R44" s="251"/>
    </row>
    <row r="45" spans="1:20" s="141" customFormat="1" ht="51.75" thickBot="1" x14ac:dyDescent="0.25">
      <c r="A45" s="142" t="s">
        <v>95</v>
      </c>
      <c r="B45" s="143" t="s">
        <v>101</v>
      </c>
      <c r="C45" s="143" t="s">
        <v>102</v>
      </c>
      <c r="D45" s="143" t="s">
        <v>44</v>
      </c>
      <c r="E45" s="143" t="s">
        <v>103</v>
      </c>
      <c r="F45" s="193" t="s">
        <v>137</v>
      </c>
      <c r="G45" s="193" t="s">
        <v>138</v>
      </c>
      <c r="H45" s="143" t="s">
        <v>104</v>
      </c>
      <c r="I45" s="144" t="s">
        <v>105</v>
      </c>
      <c r="J45" s="142" t="s">
        <v>101</v>
      </c>
      <c r="K45" s="143" t="s">
        <v>102</v>
      </c>
      <c r="L45" s="143" t="s">
        <v>44</v>
      </c>
      <c r="M45" s="145" t="s">
        <v>103</v>
      </c>
      <c r="N45" s="83" t="s">
        <v>92</v>
      </c>
      <c r="O45" s="84" t="s">
        <v>44</v>
      </c>
      <c r="P45" s="84" t="s">
        <v>103</v>
      </c>
      <c r="Q45" s="84" t="s">
        <v>44</v>
      </c>
      <c r="R45" s="85" t="s">
        <v>103</v>
      </c>
    </row>
    <row r="46" spans="1:20" ht="13.5" thickBot="1" x14ac:dyDescent="0.25">
      <c r="A46" s="180">
        <v>1</v>
      </c>
      <c r="B46" s="81">
        <v>100000000</v>
      </c>
      <c r="C46" s="119">
        <f>+-PMT($C$39,120,+B46)</f>
        <v>1161084.7921862407</v>
      </c>
      <c r="D46" s="81">
        <f t="shared" ref="D46:D77" si="0">+B46*$C$39</f>
        <v>583333.33333333337</v>
      </c>
      <c r="E46" s="81">
        <f>+C46-D46</f>
        <v>577751.45885290729</v>
      </c>
      <c r="F46" s="117">
        <v>2E-3</v>
      </c>
      <c r="G46" s="118">
        <f>1-(1-F46)^(1/12)</f>
        <v>1.6681963994558124E-4</v>
      </c>
      <c r="H46" s="119">
        <f t="shared" ref="H46:H77" si="1">+(B46-E46)*G46</f>
        <v>16585.583704214248</v>
      </c>
      <c r="I46" s="120">
        <f t="shared" ref="I46:I77" si="2">+B46-H46-E46</f>
        <v>99405662.95744288</v>
      </c>
      <c r="J46" s="104">
        <v>100000000</v>
      </c>
      <c r="K46" s="103">
        <f t="shared" ref="K46:K77" si="3">+-PMT($C$39,120,+$J$46)</f>
        <v>1161084.7921862407</v>
      </c>
      <c r="L46" s="80">
        <f t="shared" ref="L46:L109" si="4">+J46*$C$39</f>
        <v>583333.33333333337</v>
      </c>
      <c r="M46" s="105">
        <f>+K46-L46</f>
        <v>577751.45885290729</v>
      </c>
      <c r="N46" s="131">
        <f t="shared" ref="N46:N77" si="5">+A46/12</f>
        <v>8.3333333333333329E-2</v>
      </c>
      <c r="O46" s="132">
        <f>+D46</f>
        <v>583333.33333333337</v>
      </c>
      <c r="P46" s="133">
        <f>+E46+H46</f>
        <v>594337.04255712149</v>
      </c>
      <c r="Q46" s="132">
        <f>+L46</f>
        <v>583333.33333333337</v>
      </c>
      <c r="R46" s="134">
        <f>+M46</f>
        <v>577751.45885290729</v>
      </c>
    </row>
    <row r="47" spans="1:20" x14ac:dyDescent="0.2">
      <c r="A47" s="180">
        <v>2</v>
      </c>
      <c r="B47" s="81">
        <f>+I46</f>
        <v>99405662.95744288</v>
      </c>
      <c r="C47" s="119">
        <f t="shared" ref="C47:C78" si="6">+-PMT($C$39,120-A46,+B47)</f>
        <v>1160891.1004392619</v>
      </c>
      <c r="D47" s="81">
        <f t="shared" si="0"/>
        <v>579866.3672517502</v>
      </c>
      <c r="E47" s="81">
        <f t="shared" ref="E47:E110" si="7">+C47-D47</f>
        <v>581024.73318751168</v>
      </c>
      <c r="F47" s="117">
        <f>+F46+0.002</f>
        <v>4.0000000000000001E-3</v>
      </c>
      <c r="G47" s="118">
        <f t="shared" ref="G47:G110" si="8">1-(1-F47)^(1/12)</f>
        <v>3.3394601074221431E-4</v>
      </c>
      <c r="H47" s="119">
        <f t="shared" si="1"/>
        <v>33002.093698032622</v>
      </c>
      <c r="I47" s="120">
        <f t="shared" si="2"/>
        <v>98791636.130557328</v>
      </c>
      <c r="J47" s="106">
        <f>+J46-M46</f>
        <v>99422248.541147098</v>
      </c>
      <c r="K47" s="103">
        <f t="shared" si="3"/>
        <v>1161084.7921862407</v>
      </c>
      <c r="L47" s="80">
        <f t="shared" si="4"/>
        <v>579963.11649002472</v>
      </c>
      <c r="M47" s="105">
        <f>+K47-L47</f>
        <v>581121.67569621594</v>
      </c>
      <c r="N47" s="135">
        <f t="shared" si="5"/>
        <v>0.16666666666666666</v>
      </c>
      <c r="O47" s="236">
        <f>+D47+D48</f>
        <v>1156150.9113466679</v>
      </c>
      <c r="P47" s="236">
        <f>+E47+H47+E48+H48</f>
        <v>1247484.9720115685</v>
      </c>
      <c r="Q47" s="236">
        <f>+L47+L48</f>
        <v>1156536.3565384883</v>
      </c>
      <c r="R47" s="239">
        <f>+M47+M48</f>
        <v>1165633.227833993</v>
      </c>
    </row>
    <row r="48" spans="1:20" ht="13.5" thickBot="1" x14ac:dyDescent="0.25">
      <c r="A48" s="180">
        <v>3</v>
      </c>
      <c r="B48" s="81">
        <f t="shared" ref="B48:B111" si="9">+I47</f>
        <v>98791636.130557328</v>
      </c>
      <c r="C48" s="119">
        <f t="shared" si="6"/>
        <v>1160503.4254873637</v>
      </c>
      <c r="D48" s="81">
        <f t="shared" si="0"/>
        <v>576284.54409491783</v>
      </c>
      <c r="E48" s="81">
        <f t="shared" si="7"/>
        <v>584218.88139244588</v>
      </c>
      <c r="F48" s="117">
        <f t="shared" ref="F48:F75" si="10">+F47+0.002</f>
        <v>6.0000000000000001E-3</v>
      </c>
      <c r="G48" s="118">
        <f t="shared" si="8"/>
        <v>5.0138029400215167E-4</v>
      </c>
      <c r="H48" s="119">
        <f t="shared" si="1"/>
        <v>49239.263733578271</v>
      </c>
      <c r="I48" s="120">
        <f t="shared" si="2"/>
        <v>98158177.985431299</v>
      </c>
      <c r="J48" s="106">
        <f t="shared" ref="J48:J111" si="11">+J47-M47</f>
        <v>98841126.865450889</v>
      </c>
      <c r="K48" s="103">
        <f t="shared" si="3"/>
        <v>1161084.7921862407</v>
      </c>
      <c r="L48" s="80">
        <f t="shared" si="4"/>
        <v>576573.24004846357</v>
      </c>
      <c r="M48" s="105">
        <f t="shared" ref="M48:M111" si="12">+K48-L48</f>
        <v>584511.55213777709</v>
      </c>
      <c r="N48" s="136">
        <f t="shared" si="5"/>
        <v>0.25</v>
      </c>
      <c r="O48" s="238"/>
      <c r="P48" s="238"/>
      <c r="Q48" s="238"/>
      <c r="R48" s="241"/>
    </row>
    <row r="49" spans="1:18" x14ac:dyDescent="0.2">
      <c r="A49" s="180">
        <v>4</v>
      </c>
      <c r="B49" s="81">
        <f t="shared" si="9"/>
        <v>98158177.985431299</v>
      </c>
      <c r="C49" s="119">
        <f t="shared" si="6"/>
        <v>1159921.5719387024</v>
      </c>
      <c r="D49" s="81">
        <f t="shared" si="0"/>
        <v>572589.37158168259</v>
      </c>
      <c r="E49" s="81">
        <f t="shared" si="7"/>
        <v>587332.20035701978</v>
      </c>
      <c r="F49" s="117">
        <f t="shared" si="10"/>
        <v>8.0000000000000002E-3</v>
      </c>
      <c r="G49" s="118">
        <f t="shared" si="8"/>
        <v>6.6912367827864916E-4</v>
      </c>
      <c r="H49" s="119">
        <f t="shared" si="1"/>
        <v>65286.963224467734</v>
      </c>
      <c r="I49" s="120">
        <f t="shared" si="2"/>
        <v>97505558.821849808</v>
      </c>
      <c r="J49" s="106">
        <f t="shared" si="11"/>
        <v>98256615.313313112</v>
      </c>
      <c r="K49" s="103">
        <f t="shared" si="3"/>
        <v>1161084.7921862407</v>
      </c>
      <c r="L49" s="80">
        <f t="shared" si="4"/>
        <v>573163.58932765981</v>
      </c>
      <c r="M49" s="105">
        <f t="shared" si="12"/>
        <v>587921.20285858086</v>
      </c>
      <c r="N49" s="135">
        <f t="shared" si="5"/>
        <v>0.33333333333333331</v>
      </c>
      <c r="O49" s="236">
        <f>+D49+D50+D51</f>
        <v>1706237.151540583</v>
      </c>
      <c r="P49" s="236">
        <f>+E49+H49+E50+H50+E51+H51</f>
        <v>2014201.2319383072</v>
      </c>
      <c r="Q49" s="236">
        <f>+L49+L50+L51</f>
        <v>1709182.1412809123</v>
      </c>
      <c r="R49" s="239">
        <f>+M49+M50+M51</f>
        <v>1774072.2352778097</v>
      </c>
    </row>
    <row r="50" spans="1:18" x14ac:dyDescent="0.2">
      <c r="A50" s="180">
        <v>5</v>
      </c>
      <c r="B50" s="81">
        <f t="shared" si="9"/>
        <v>97505558.821849808</v>
      </c>
      <c r="C50" s="119">
        <f t="shared" si="6"/>
        <v>1159145.440949972</v>
      </c>
      <c r="D50" s="81">
        <f t="shared" si="0"/>
        <v>568782.42646079056</v>
      </c>
      <c r="E50" s="81">
        <f t="shared" si="7"/>
        <v>590363.01448918146</v>
      </c>
      <c r="F50" s="117">
        <f t="shared" si="10"/>
        <v>0.01</v>
      </c>
      <c r="G50" s="118">
        <f t="shared" si="8"/>
        <v>8.3717735912058888E-4</v>
      </c>
      <c r="H50" s="119">
        <f t="shared" si="1"/>
        <v>81135.207684660927</v>
      </c>
      <c r="I50" s="120">
        <f t="shared" si="2"/>
        <v>96834060.599675953</v>
      </c>
      <c r="J50" s="106">
        <f t="shared" si="11"/>
        <v>97668694.11045453</v>
      </c>
      <c r="K50" s="103">
        <f t="shared" si="3"/>
        <v>1161084.7921862407</v>
      </c>
      <c r="L50" s="80">
        <f t="shared" si="4"/>
        <v>569734.0489776514</v>
      </c>
      <c r="M50" s="105">
        <f t="shared" si="12"/>
        <v>591350.74320858927</v>
      </c>
      <c r="N50" s="137">
        <f t="shared" si="5"/>
        <v>0.41666666666666669</v>
      </c>
      <c r="O50" s="237"/>
      <c r="P50" s="237"/>
      <c r="Q50" s="237"/>
      <c r="R50" s="240"/>
    </row>
    <row r="51" spans="1:18" ht="13.5" thickBot="1" x14ac:dyDescent="0.25">
      <c r="A51" s="180">
        <v>6</v>
      </c>
      <c r="B51" s="81">
        <f t="shared" si="9"/>
        <v>96834060.599675953</v>
      </c>
      <c r="C51" s="119">
        <f t="shared" si="6"/>
        <v>1158175.0306308805</v>
      </c>
      <c r="D51" s="81">
        <f t="shared" si="0"/>
        <v>564865.35349810973</v>
      </c>
      <c r="E51" s="81">
        <f t="shared" si="7"/>
        <v>593309.67713277077</v>
      </c>
      <c r="F51" s="117">
        <f t="shared" si="10"/>
        <v>1.2E-2</v>
      </c>
      <c r="G51" s="118">
        <f t="shared" si="8"/>
        <v>1.0055425391276573E-3</v>
      </c>
      <c r="H51" s="119">
        <f t="shared" si="1"/>
        <v>96774.169050206503</v>
      </c>
      <c r="I51" s="120">
        <f t="shared" si="2"/>
        <v>96143976.753492981</v>
      </c>
      <c r="J51" s="106">
        <f t="shared" si="11"/>
        <v>97077343.367245942</v>
      </c>
      <c r="K51" s="103">
        <f t="shared" si="3"/>
        <v>1161084.7921862407</v>
      </c>
      <c r="L51" s="80">
        <f t="shared" si="4"/>
        <v>566284.50297560135</v>
      </c>
      <c r="M51" s="105">
        <f t="shared" si="12"/>
        <v>594800.28921063931</v>
      </c>
      <c r="N51" s="136">
        <f t="shared" si="5"/>
        <v>0.5</v>
      </c>
      <c r="O51" s="238"/>
      <c r="P51" s="238"/>
      <c r="Q51" s="238"/>
      <c r="R51" s="241"/>
    </row>
    <row r="52" spans="1:18" x14ac:dyDescent="0.2">
      <c r="A52" s="180">
        <v>7</v>
      </c>
      <c r="B52" s="81">
        <f t="shared" si="9"/>
        <v>96143976.753492981</v>
      </c>
      <c r="C52" s="119">
        <f t="shared" si="6"/>
        <v>1157010.4363698256</v>
      </c>
      <c r="D52" s="81">
        <f t="shared" si="0"/>
        <v>560839.86439537571</v>
      </c>
      <c r="E52" s="81">
        <f t="shared" si="7"/>
        <v>596170.57197444991</v>
      </c>
      <c r="F52" s="117">
        <f t="shared" si="10"/>
        <v>1.4E-2</v>
      </c>
      <c r="G52" s="118">
        <f t="shared" si="8"/>
        <v>1.1742204280067448E-3</v>
      </c>
      <c r="H52" s="119">
        <f t="shared" si="1"/>
        <v>112194.18586956817</v>
      </c>
      <c r="I52" s="120">
        <f t="shared" si="2"/>
        <v>95435611.99564895</v>
      </c>
      <c r="J52" s="106">
        <f t="shared" si="11"/>
        <v>96482543.07803531</v>
      </c>
      <c r="K52" s="103">
        <f t="shared" si="3"/>
        <v>1161084.7921862407</v>
      </c>
      <c r="L52" s="80">
        <f t="shared" si="4"/>
        <v>562814.83462187264</v>
      </c>
      <c r="M52" s="105">
        <f t="shared" si="12"/>
        <v>598269.95756436803</v>
      </c>
      <c r="N52" s="135">
        <f t="shared" si="5"/>
        <v>0.58333333333333337</v>
      </c>
      <c r="O52" s="236">
        <f>+D52+D53+D54</f>
        <v>1670018.4133325235</v>
      </c>
      <c r="P52" s="236">
        <f>+E52+H52+E53+H53+E54+H54</f>
        <v>2178663.0319330464</v>
      </c>
      <c r="Q52" s="236">
        <f>+L52+L53+L54</f>
        <v>1677954.4218110745</v>
      </c>
      <c r="R52" s="239">
        <f>+M52+M53+M54</f>
        <v>1805299.9547476475</v>
      </c>
    </row>
    <row r="53" spans="1:18" x14ac:dyDescent="0.2">
      <c r="A53" s="180">
        <v>8</v>
      </c>
      <c r="B53" s="81">
        <f t="shared" si="9"/>
        <v>95435611.99564895</v>
      </c>
      <c r="C53" s="119">
        <f t="shared" si="6"/>
        <v>1155651.8510800232</v>
      </c>
      <c r="D53" s="81">
        <f t="shared" si="0"/>
        <v>556707.73664128559</v>
      </c>
      <c r="E53" s="81">
        <f t="shared" si="7"/>
        <v>598944.11443873763</v>
      </c>
      <c r="F53" s="117">
        <f t="shared" si="10"/>
        <v>1.6E-2</v>
      </c>
      <c r="G53" s="118">
        <f t="shared" si="8"/>
        <v>1.3432122426282334E-3</v>
      </c>
      <c r="H53" s="119">
        <f t="shared" si="1"/>
        <v>127385.77334810932</v>
      </c>
      <c r="I53" s="120">
        <f t="shared" si="2"/>
        <v>94709282.1078621</v>
      </c>
      <c r="J53" s="106">
        <f t="shared" si="11"/>
        <v>95884273.120470941</v>
      </c>
      <c r="K53" s="103">
        <f t="shared" si="3"/>
        <v>1161084.7921862407</v>
      </c>
      <c r="L53" s="80">
        <f t="shared" si="4"/>
        <v>559324.92653608054</v>
      </c>
      <c r="M53" s="105">
        <f t="shared" si="12"/>
        <v>601759.86565016012</v>
      </c>
      <c r="N53" s="137">
        <f t="shared" si="5"/>
        <v>0.66666666666666663</v>
      </c>
      <c r="O53" s="237"/>
      <c r="P53" s="237"/>
      <c r="Q53" s="237"/>
      <c r="R53" s="240"/>
    </row>
    <row r="54" spans="1:18" ht="13.5" thickBot="1" x14ac:dyDescent="0.25">
      <c r="A54" s="180">
        <v>9</v>
      </c>
      <c r="B54" s="81">
        <f t="shared" si="9"/>
        <v>94709282.1078621</v>
      </c>
      <c r="C54" s="119">
        <f t="shared" si="6"/>
        <v>1154099.5653654365</v>
      </c>
      <c r="D54" s="81">
        <f t="shared" si="0"/>
        <v>552470.81229586224</v>
      </c>
      <c r="E54" s="81">
        <f t="shared" si="7"/>
        <v>601628.75306957425</v>
      </c>
      <c r="F54" s="117">
        <f t="shared" si="10"/>
        <v>1.8000000000000002E-2</v>
      </c>
      <c r="G54" s="118">
        <f t="shared" si="8"/>
        <v>1.5125192070827298E-3</v>
      </c>
      <c r="H54" s="119">
        <f t="shared" si="1"/>
        <v>142339.63323260719</v>
      </c>
      <c r="I54" s="120">
        <f t="shared" si="2"/>
        <v>93965313.721559912</v>
      </c>
      <c r="J54" s="106">
        <f t="shared" si="11"/>
        <v>95282513.254820779</v>
      </c>
      <c r="K54" s="103">
        <f t="shared" si="3"/>
        <v>1161084.7921862407</v>
      </c>
      <c r="L54" s="80">
        <f t="shared" si="4"/>
        <v>555814.66065312119</v>
      </c>
      <c r="M54" s="105">
        <f t="shared" si="12"/>
        <v>605270.13153311948</v>
      </c>
      <c r="N54" s="136">
        <f t="shared" si="5"/>
        <v>0.75</v>
      </c>
      <c r="O54" s="238"/>
      <c r="P54" s="238"/>
      <c r="Q54" s="238"/>
      <c r="R54" s="241"/>
    </row>
    <row r="55" spans="1:18" x14ac:dyDescent="0.2">
      <c r="A55" s="180">
        <v>10</v>
      </c>
      <c r="B55" s="81">
        <f t="shared" si="9"/>
        <v>93965313.721559912</v>
      </c>
      <c r="C55" s="119">
        <f t="shared" si="6"/>
        <v>1152353.9676059356</v>
      </c>
      <c r="D55" s="81">
        <f t="shared" si="0"/>
        <v>548130.99670909951</v>
      </c>
      <c r="E55" s="81">
        <f t="shared" si="7"/>
        <v>604222.97089683614</v>
      </c>
      <c r="F55" s="117">
        <f t="shared" si="10"/>
        <v>2.0000000000000004E-2</v>
      </c>
      <c r="G55" s="118">
        <f t="shared" si="8"/>
        <v>1.6821425527395739E-3</v>
      </c>
      <c r="H55" s="119">
        <f t="shared" si="1"/>
        <v>157046.66352187141</v>
      </c>
      <c r="I55" s="120">
        <f t="shared" si="2"/>
        <v>93204044.087141201</v>
      </c>
      <c r="J55" s="106">
        <f t="shared" si="11"/>
        <v>94677243.123287663</v>
      </c>
      <c r="K55" s="103">
        <f t="shared" si="3"/>
        <v>1161084.7921862407</v>
      </c>
      <c r="L55" s="80">
        <f t="shared" si="4"/>
        <v>552283.9182191781</v>
      </c>
      <c r="M55" s="105">
        <f t="shared" si="12"/>
        <v>608800.87396706257</v>
      </c>
      <c r="N55" s="138">
        <f t="shared" si="5"/>
        <v>0.83333333333333337</v>
      </c>
      <c r="O55" s="236">
        <f>+D55+D56+D57</f>
        <v>1630971.8754062231</v>
      </c>
      <c r="P55" s="236">
        <f>+E55+H55+E56+H56+E57+H57</f>
        <v>2334312.011469027</v>
      </c>
      <c r="Q55" s="236">
        <f>+L55+L56+L57</f>
        <v>1646177.0232222602</v>
      </c>
      <c r="R55" s="239">
        <f>+M55+M56+M57</f>
        <v>1837077.3533364618</v>
      </c>
    </row>
    <row r="56" spans="1:18" x14ac:dyDescent="0.2">
      <c r="A56" s="180">
        <v>11</v>
      </c>
      <c r="B56" s="81">
        <f t="shared" si="9"/>
        <v>93204044.087141201</v>
      </c>
      <c r="C56" s="119">
        <f t="shared" si="6"/>
        <v>1150415.5439612071</v>
      </c>
      <c r="D56" s="81">
        <f t="shared" si="0"/>
        <v>543690.25717499037</v>
      </c>
      <c r="E56" s="81">
        <f t="shared" si="7"/>
        <v>606725.28678621678</v>
      </c>
      <c r="F56" s="117">
        <f t="shared" si="10"/>
        <v>2.2000000000000006E-2</v>
      </c>
      <c r="G56" s="118">
        <f t="shared" si="8"/>
        <v>1.8520835183041262E-3</v>
      </c>
      <c r="H56" s="119">
        <f t="shared" si="1"/>
        <v>171497.96798929028</v>
      </c>
      <c r="I56" s="120">
        <f t="shared" si="2"/>
        <v>92425820.832365692</v>
      </c>
      <c r="J56" s="106">
        <f t="shared" si="11"/>
        <v>94068442.249320596</v>
      </c>
      <c r="K56" s="103">
        <f t="shared" si="3"/>
        <v>1161084.7921862407</v>
      </c>
      <c r="L56" s="80">
        <f t="shared" si="4"/>
        <v>548732.57978770346</v>
      </c>
      <c r="M56" s="105">
        <f t="shared" si="12"/>
        <v>612352.2123985372</v>
      </c>
      <c r="N56" s="139">
        <f t="shared" si="5"/>
        <v>0.91666666666666663</v>
      </c>
      <c r="O56" s="237"/>
      <c r="P56" s="237"/>
      <c r="Q56" s="237"/>
      <c r="R56" s="240"/>
    </row>
    <row r="57" spans="1:18" ht="13.5" thickBot="1" x14ac:dyDescent="0.25">
      <c r="A57" s="180">
        <v>12</v>
      </c>
      <c r="B57" s="81">
        <f t="shared" si="9"/>
        <v>92425820.832365692</v>
      </c>
      <c r="C57" s="119">
        <f t="shared" si="6"/>
        <v>1148284.8782930358</v>
      </c>
      <c r="D57" s="81">
        <f t="shared" si="0"/>
        <v>539150.62152213324</v>
      </c>
      <c r="E57" s="81">
        <f t="shared" si="7"/>
        <v>609134.25677090255</v>
      </c>
      <c r="F57" s="117">
        <f t="shared" si="10"/>
        <v>2.4000000000000007E-2</v>
      </c>
      <c r="G57" s="118">
        <f t="shared" si="8"/>
        <v>2.0223433498771648E-3</v>
      </c>
      <c r="H57" s="119">
        <f t="shared" si="1"/>
        <v>185684.86550391006</v>
      </c>
      <c r="I57" s="120">
        <f t="shared" si="2"/>
        <v>91631001.710090876</v>
      </c>
      <c r="J57" s="106">
        <f t="shared" si="11"/>
        <v>93456090.036922053</v>
      </c>
      <c r="K57" s="103">
        <f t="shared" si="3"/>
        <v>1161084.7921862407</v>
      </c>
      <c r="L57" s="80">
        <f t="shared" si="4"/>
        <v>545160.52521537861</v>
      </c>
      <c r="M57" s="105">
        <f t="shared" si="12"/>
        <v>615924.26697086205</v>
      </c>
      <c r="N57" s="140">
        <f t="shared" si="5"/>
        <v>1</v>
      </c>
      <c r="O57" s="238"/>
      <c r="P57" s="238"/>
      <c r="Q57" s="238"/>
      <c r="R57" s="241"/>
    </row>
    <row r="58" spans="1:18" x14ac:dyDescent="0.2">
      <c r="A58" s="180">
        <v>13</v>
      </c>
      <c r="B58" s="81">
        <f t="shared" si="9"/>
        <v>91631001.710090876</v>
      </c>
      <c r="C58" s="119">
        <f t="shared" si="6"/>
        <v>1145962.6520056552</v>
      </c>
      <c r="D58" s="81">
        <f t="shared" si="0"/>
        <v>534514.17664219684</v>
      </c>
      <c r="E58" s="81">
        <f t="shared" si="7"/>
        <v>611448.47536345839</v>
      </c>
      <c r="F58" s="117">
        <f t="shared" si="10"/>
        <v>2.6000000000000009E-2</v>
      </c>
      <c r="G58" s="118">
        <f t="shared" si="8"/>
        <v>2.1929233010143934E-3</v>
      </c>
      <c r="H58" s="119">
        <f t="shared" si="1"/>
        <v>199598.89913635375</v>
      </c>
      <c r="I58" s="120">
        <f t="shared" si="2"/>
        <v>90819954.335591063</v>
      </c>
      <c r="J58" s="106">
        <f t="shared" si="11"/>
        <v>92840165.769951195</v>
      </c>
      <c r="K58" s="103">
        <f t="shared" si="3"/>
        <v>1161084.7921862407</v>
      </c>
      <c r="L58" s="80">
        <f t="shared" si="4"/>
        <v>541567.6336580487</v>
      </c>
      <c r="M58" s="105">
        <f t="shared" si="12"/>
        <v>619517.15852819197</v>
      </c>
      <c r="N58" s="138">
        <f t="shared" si="5"/>
        <v>1.0833333333333333</v>
      </c>
      <c r="O58" s="230">
        <f>+SUM(D58:D63)</f>
        <v>3134303.2592384531</v>
      </c>
      <c r="P58" s="230">
        <f>+SUM(E58:E63)+SUM(H58:H63)</f>
        <v>5096186.3273263024</v>
      </c>
      <c r="Q58" s="230">
        <f>+SUM(L58:L63)</f>
        <v>3194774.5858555795</v>
      </c>
      <c r="R58" s="233">
        <f>+SUM(M58:M63)</f>
        <v>3771734.1672618641</v>
      </c>
    </row>
    <row r="59" spans="1:18" x14ac:dyDescent="0.2">
      <c r="A59" s="180">
        <v>14</v>
      </c>
      <c r="B59" s="81">
        <f t="shared" si="9"/>
        <v>90819954.335591063</v>
      </c>
      <c r="C59" s="119">
        <f t="shared" si="6"/>
        <v>1143449.64380398</v>
      </c>
      <c r="D59" s="81">
        <f t="shared" si="0"/>
        <v>529783.0669576145</v>
      </c>
      <c r="E59" s="81">
        <f t="shared" si="7"/>
        <v>613666.57684636547</v>
      </c>
      <c r="F59" s="117">
        <f t="shared" si="10"/>
        <v>2.8000000000000011E-2</v>
      </c>
      <c r="G59" s="118">
        <f t="shared" si="8"/>
        <v>2.3638246327857271E-3</v>
      </c>
      <c r="H59" s="119">
        <f t="shared" si="1"/>
        <v>213231.84503627833</v>
      </c>
      <c r="I59" s="120">
        <f t="shared" si="2"/>
        <v>89993055.913708419</v>
      </c>
      <c r="J59" s="106">
        <f t="shared" si="11"/>
        <v>92220648.611423001</v>
      </c>
      <c r="K59" s="103">
        <f t="shared" si="3"/>
        <v>1161084.7921862407</v>
      </c>
      <c r="L59" s="80">
        <f t="shared" si="4"/>
        <v>537953.78356663417</v>
      </c>
      <c r="M59" s="105">
        <f t="shared" si="12"/>
        <v>623131.00861960649</v>
      </c>
      <c r="N59" s="139">
        <f t="shared" si="5"/>
        <v>1.1666666666666667</v>
      </c>
      <c r="O59" s="231"/>
      <c r="P59" s="231"/>
      <c r="Q59" s="231"/>
      <c r="R59" s="234"/>
    </row>
    <row r="60" spans="1:18" x14ac:dyDescent="0.2">
      <c r="A60" s="180">
        <v>15</v>
      </c>
      <c r="B60" s="81">
        <f t="shared" si="9"/>
        <v>89993055.913708419</v>
      </c>
      <c r="C60" s="119">
        <f t="shared" si="6"/>
        <v>1140746.7293696059</v>
      </c>
      <c r="D60" s="81">
        <f t="shared" si="0"/>
        <v>524959.49282996578</v>
      </c>
      <c r="E60" s="81">
        <f t="shared" si="7"/>
        <v>615787.23653964011</v>
      </c>
      <c r="F60" s="117">
        <f t="shared" si="10"/>
        <v>3.0000000000000013E-2</v>
      </c>
      <c r="G60" s="118">
        <f t="shared" si="8"/>
        <v>2.5350486138366879E-3</v>
      </c>
      <c r="H60" s="119">
        <f t="shared" si="1"/>
        <v>226575.72106856591</v>
      </c>
      <c r="I60" s="120">
        <f t="shared" si="2"/>
        <v>89150692.956100211</v>
      </c>
      <c r="J60" s="106">
        <f t="shared" si="11"/>
        <v>91597517.602803394</v>
      </c>
      <c r="K60" s="103">
        <f t="shared" si="3"/>
        <v>1161084.7921862407</v>
      </c>
      <c r="L60" s="80">
        <f t="shared" si="4"/>
        <v>534318.85268301982</v>
      </c>
      <c r="M60" s="105">
        <f t="shared" si="12"/>
        <v>626765.93950322084</v>
      </c>
      <c r="N60" s="139">
        <f t="shared" si="5"/>
        <v>1.25</v>
      </c>
      <c r="O60" s="231"/>
      <c r="P60" s="231"/>
      <c r="Q60" s="231"/>
      <c r="R60" s="234"/>
    </row>
    <row r="61" spans="1:18" x14ac:dyDescent="0.2">
      <c r="A61" s="180">
        <v>16</v>
      </c>
      <c r="B61" s="81">
        <f t="shared" si="9"/>
        <v>89150692.956100211</v>
      </c>
      <c r="C61" s="119">
        <f t="shared" si="6"/>
        <v>1137854.8809545788</v>
      </c>
      <c r="D61" s="81">
        <f t="shared" si="0"/>
        <v>520045.70891058457</v>
      </c>
      <c r="E61" s="81">
        <f t="shared" si="7"/>
        <v>617809.17204399419</v>
      </c>
      <c r="F61" s="117">
        <f t="shared" si="10"/>
        <v>3.2000000000000015E-2</v>
      </c>
      <c r="G61" s="118">
        <f t="shared" si="8"/>
        <v>2.7065965204493558E-3</v>
      </c>
      <c r="H61" s="119">
        <f t="shared" si="1"/>
        <v>239622.79519527376</v>
      </c>
      <c r="I61" s="120">
        <f t="shared" si="2"/>
        <v>88293260.98886095</v>
      </c>
      <c r="J61" s="106">
        <f t="shared" si="11"/>
        <v>90970751.663300171</v>
      </c>
      <c r="K61" s="103">
        <f t="shared" si="3"/>
        <v>1161084.7921862407</v>
      </c>
      <c r="L61" s="80">
        <f t="shared" si="4"/>
        <v>530662.71803591773</v>
      </c>
      <c r="M61" s="105">
        <f t="shared" si="12"/>
        <v>630422.07415032294</v>
      </c>
      <c r="N61" s="139">
        <f t="shared" si="5"/>
        <v>1.3333333333333333</v>
      </c>
      <c r="O61" s="231"/>
      <c r="P61" s="231"/>
      <c r="Q61" s="231"/>
      <c r="R61" s="234"/>
    </row>
    <row r="62" spans="1:18" x14ac:dyDescent="0.2">
      <c r="A62" s="180">
        <v>17</v>
      </c>
      <c r="B62" s="81">
        <f t="shared" si="9"/>
        <v>88293260.98886095</v>
      </c>
      <c r="C62" s="119">
        <f t="shared" si="6"/>
        <v>1134775.1668930107</v>
      </c>
      <c r="D62" s="81">
        <f t="shared" si="0"/>
        <v>515044.02243502223</v>
      </c>
      <c r="E62" s="81">
        <f t="shared" si="7"/>
        <v>619731.14445798844</v>
      </c>
      <c r="F62" s="117">
        <f t="shared" si="10"/>
        <v>3.4000000000000016E-2</v>
      </c>
      <c r="G62" s="118">
        <f t="shared" si="8"/>
        <v>2.8784696366042084E-3</v>
      </c>
      <c r="H62" s="119">
        <f t="shared" si="1"/>
        <v>252365.59359102685</v>
      </c>
      <c r="I62" s="120">
        <f t="shared" si="2"/>
        <v>87421164.250811934</v>
      </c>
      <c r="J62" s="106">
        <f t="shared" si="11"/>
        <v>90340329.589149848</v>
      </c>
      <c r="K62" s="103">
        <f t="shared" si="3"/>
        <v>1161084.7921862407</v>
      </c>
      <c r="L62" s="80">
        <f t="shared" si="4"/>
        <v>526985.25593670749</v>
      </c>
      <c r="M62" s="105">
        <f t="shared" si="12"/>
        <v>634099.53624953318</v>
      </c>
      <c r="N62" s="139">
        <f t="shared" si="5"/>
        <v>1.4166666666666667</v>
      </c>
      <c r="O62" s="231"/>
      <c r="P62" s="231"/>
      <c r="Q62" s="231"/>
      <c r="R62" s="234"/>
    </row>
    <row r="63" spans="1:18" ht="13.5" thickBot="1" x14ac:dyDescent="0.25">
      <c r="A63" s="180">
        <v>18</v>
      </c>
      <c r="B63" s="81">
        <f t="shared" si="9"/>
        <v>87421164.250811934</v>
      </c>
      <c r="C63" s="119">
        <f t="shared" si="6"/>
        <v>1131508.7510307371</v>
      </c>
      <c r="D63" s="81">
        <f t="shared" si="0"/>
        <v>509956.79146306962</v>
      </c>
      <c r="E63" s="81">
        <f t="shared" si="7"/>
        <v>621551.95956766745</v>
      </c>
      <c r="F63" s="117">
        <f t="shared" si="10"/>
        <v>3.6000000000000018E-2</v>
      </c>
      <c r="G63" s="118">
        <f t="shared" si="8"/>
        <v>3.0506692540422931E-3</v>
      </c>
      <c r="H63" s="119">
        <f t="shared" si="1"/>
        <v>264796.90847969038</v>
      </c>
      <c r="I63" s="120">
        <f t="shared" si="2"/>
        <v>86534815.382764578</v>
      </c>
      <c r="J63" s="106">
        <f t="shared" si="11"/>
        <v>89706230.052900314</v>
      </c>
      <c r="K63" s="103">
        <f t="shared" si="3"/>
        <v>1161084.7921862407</v>
      </c>
      <c r="L63" s="80">
        <f t="shared" si="4"/>
        <v>523286.34197525185</v>
      </c>
      <c r="M63" s="105">
        <f t="shared" si="12"/>
        <v>637798.45021098875</v>
      </c>
      <c r="N63" s="140">
        <f t="shared" si="5"/>
        <v>1.5</v>
      </c>
      <c r="O63" s="232"/>
      <c r="P63" s="232"/>
      <c r="Q63" s="232"/>
      <c r="R63" s="235"/>
    </row>
    <row r="64" spans="1:18" x14ac:dyDescent="0.2">
      <c r="A64" s="180">
        <v>19</v>
      </c>
      <c r="B64" s="81">
        <f t="shared" si="9"/>
        <v>86534815.382764578</v>
      </c>
      <c r="C64" s="119">
        <f t="shared" si="6"/>
        <v>1128056.8920732876</v>
      </c>
      <c r="D64" s="81">
        <f t="shared" si="0"/>
        <v>504786.42306612671</v>
      </c>
      <c r="E64" s="81">
        <f t="shared" si="7"/>
        <v>623270.46900716098</v>
      </c>
      <c r="F64" s="117">
        <f t="shared" si="10"/>
        <v>3.800000000000002E-2</v>
      </c>
      <c r="G64" s="118">
        <f t="shared" si="8"/>
        <v>3.223196672329065E-3</v>
      </c>
      <c r="H64" s="119">
        <f t="shared" si="1"/>
        <v>276909.80568067188</v>
      </c>
      <c r="I64" s="120">
        <f t="shared" si="2"/>
        <v>85634635.108076736</v>
      </c>
      <c r="J64" s="106">
        <f t="shared" si="11"/>
        <v>89068431.602689326</v>
      </c>
      <c r="K64" s="103">
        <f t="shared" si="3"/>
        <v>1161084.7921862407</v>
      </c>
      <c r="L64" s="80">
        <f t="shared" si="4"/>
        <v>519565.85101568775</v>
      </c>
      <c r="M64" s="105">
        <f t="shared" si="12"/>
        <v>641518.94117055298</v>
      </c>
      <c r="N64" s="138">
        <f t="shared" si="5"/>
        <v>1.5833333333333333</v>
      </c>
      <c r="O64" s="230">
        <f>+SUM(D64:D69)</f>
        <v>2948427.4759393274</v>
      </c>
      <c r="P64" s="230">
        <f>+SUM(E64:E69)+SUM(H64:H69)</f>
        <v>5593303.6185697354</v>
      </c>
      <c r="Q64" s="230">
        <f>+SUM(L64:L69)</f>
        <v>3060823.6949230162</v>
      </c>
      <c r="R64" s="233">
        <f>+SUM(M64:M69)</f>
        <v>3905685.0581944282</v>
      </c>
    </row>
    <row r="65" spans="1:18" x14ac:dyDescent="0.2">
      <c r="A65" s="180">
        <v>20</v>
      </c>
      <c r="B65" s="81">
        <f t="shared" si="9"/>
        <v>85634635.108076736</v>
      </c>
      <c r="C65" s="119">
        <f t="shared" si="6"/>
        <v>1124420.942852559</v>
      </c>
      <c r="D65" s="81">
        <f t="shared" si="0"/>
        <v>499535.37146378099</v>
      </c>
      <c r="E65" s="81">
        <f t="shared" si="7"/>
        <v>624885.57138877804</v>
      </c>
      <c r="F65" s="117">
        <f t="shared" si="10"/>
        <v>4.0000000000000022E-2</v>
      </c>
      <c r="G65" s="118">
        <f t="shared" si="8"/>
        <v>3.3960531989175591E-3</v>
      </c>
      <c r="H65" s="119">
        <f t="shared" si="1"/>
        <v>288697.63185324962</v>
      </c>
      <c r="I65" s="120">
        <f t="shared" si="2"/>
        <v>84721051.904834703</v>
      </c>
      <c r="J65" s="106">
        <f t="shared" si="11"/>
        <v>88426912.661518767</v>
      </c>
      <c r="K65" s="103">
        <f t="shared" si="3"/>
        <v>1161084.7921862407</v>
      </c>
      <c r="L65" s="80">
        <f t="shared" si="4"/>
        <v>515823.65719219286</v>
      </c>
      <c r="M65" s="105">
        <f t="shared" si="12"/>
        <v>645261.13499404781</v>
      </c>
      <c r="N65" s="139">
        <f t="shared" si="5"/>
        <v>1.6666666666666667</v>
      </c>
      <c r="O65" s="231"/>
      <c r="P65" s="231"/>
      <c r="Q65" s="231"/>
      <c r="R65" s="234"/>
    </row>
    <row r="66" spans="1:18" x14ac:dyDescent="0.2">
      <c r="A66" s="180">
        <v>21</v>
      </c>
      <c r="B66" s="81">
        <f t="shared" si="9"/>
        <v>84721051.904834703</v>
      </c>
      <c r="C66" s="119">
        <f t="shared" si="6"/>
        <v>1120602.3495126546</v>
      </c>
      <c r="D66" s="81">
        <f t="shared" si="0"/>
        <v>494206.13611153577</v>
      </c>
      <c r="E66" s="81">
        <f t="shared" si="7"/>
        <v>626396.21340111876</v>
      </c>
      <c r="F66" s="117">
        <f t="shared" si="10"/>
        <v>4.2000000000000023E-2</v>
      </c>
      <c r="G66" s="118">
        <f t="shared" si="8"/>
        <v>3.5692401492131154E-3</v>
      </c>
      <c r="H66" s="119">
        <f t="shared" si="1"/>
        <v>300154.02142811794</v>
      </c>
      <c r="I66" s="120">
        <f t="shared" si="2"/>
        <v>83794501.670005456</v>
      </c>
      <c r="J66" s="106">
        <f t="shared" si="11"/>
        <v>87781651.526524723</v>
      </c>
      <c r="K66" s="103">
        <f t="shared" si="3"/>
        <v>1161084.7921862407</v>
      </c>
      <c r="L66" s="80">
        <f t="shared" si="4"/>
        <v>512059.63390472758</v>
      </c>
      <c r="M66" s="105">
        <f t="shared" si="12"/>
        <v>649025.15828151302</v>
      </c>
      <c r="N66" s="139">
        <f t="shared" si="5"/>
        <v>1.75</v>
      </c>
      <c r="O66" s="231"/>
      <c r="P66" s="231"/>
      <c r="Q66" s="231"/>
      <c r="R66" s="234"/>
    </row>
    <row r="67" spans="1:18" x14ac:dyDescent="0.2">
      <c r="A67" s="180">
        <v>22</v>
      </c>
      <c r="B67" s="81">
        <f t="shared" si="9"/>
        <v>83794501.670005456</v>
      </c>
      <c r="C67" s="119">
        <f t="shared" si="6"/>
        <v>1116602.6506154712</v>
      </c>
      <c r="D67" s="81">
        <f t="shared" si="0"/>
        <v>488801.25974169851</v>
      </c>
      <c r="E67" s="81">
        <f t="shared" si="7"/>
        <v>627801.39087377267</v>
      </c>
      <c r="F67" s="117">
        <f t="shared" si="10"/>
        <v>4.4000000000000025E-2</v>
      </c>
      <c r="G67" s="118">
        <f t="shared" si="8"/>
        <v>3.7427588466381057E-3</v>
      </c>
      <c r="H67" s="119">
        <f t="shared" si="1"/>
        <v>311272.90321541991</v>
      </c>
      <c r="I67" s="120">
        <f t="shared" si="2"/>
        <v>82855427.375916258</v>
      </c>
      <c r="J67" s="106">
        <f t="shared" si="11"/>
        <v>87132626.368243203</v>
      </c>
      <c r="K67" s="103">
        <f t="shared" si="3"/>
        <v>1161084.7921862407</v>
      </c>
      <c r="L67" s="80">
        <f t="shared" si="4"/>
        <v>508273.65381475206</v>
      </c>
      <c r="M67" s="105">
        <f t="shared" si="12"/>
        <v>652811.13837148855</v>
      </c>
      <c r="N67" s="139">
        <f t="shared" si="5"/>
        <v>1.8333333333333333</v>
      </c>
      <c r="O67" s="231"/>
      <c r="P67" s="231"/>
      <c r="Q67" s="231"/>
      <c r="R67" s="234"/>
    </row>
    <row r="68" spans="1:18" x14ac:dyDescent="0.2">
      <c r="A68" s="180">
        <v>23</v>
      </c>
      <c r="B68" s="81">
        <f t="shared" si="9"/>
        <v>82855427.375916258</v>
      </c>
      <c r="C68" s="119">
        <f t="shared" si="6"/>
        <v>1112423.4761667007</v>
      </c>
      <c r="D68" s="81">
        <f t="shared" si="0"/>
        <v>483323.32635951153</v>
      </c>
      <c r="E68" s="81">
        <f t="shared" si="7"/>
        <v>629100.14980718913</v>
      </c>
      <c r="F68" s="117">
        <f t="shared" si="10"/>
        <v>4.6000000000000027E-2</v>
      </c>
      <c r="G68" s="118">
        <f t="shared" si="8"/>
        <v>3.9166106226982134E-3</v>
      </c>
      <c r="H68" s="119">
        <f t="shared" si="1"/>
        <v>322048.50667923811</v>
      </c>
      <c r="I68" s="120">
        <f t="shared" si="2"/>
        <v>81904278.719429836</v>
      </c>
      <c r="J68" s="106">
        <f t="shared" si="11"/>
        <v>86479815.22987172</v>
      </c>
      <c r="K68" s="103">
        <f t="shared" si="3"/>
        <v>1161084.7921862407</v>
      </c>
      <c r="L68" s="80">
        <f t="shared" si="4"/>
        <v>504465.58884091838</v>
      </c>
      <c r="M68" s="105">
        <f t="shared" si="12"/>
        <v>656619.20334532228</v>
      </c>
      <c r="N68" s="139">
        <f t="shared" si="5"/>
        <v>1.9166666666666667</v>
      </c>
      <c r="O68" s="231"/>
      <c r="P68" s="231"/>
      <c r="Q68" s="231"/>
      <c r="R68" s="234"/>
    </row>
    <row r="69" spans="1:18" ht="13.5" thickBot="1" x14ac:dyDescent="0.25">
      <c r="A69" s="180">
        <v>24</v>
      </c>
      <c r="B69" s="81">
        <f t="shared" si="9"/>
        <v>81904278.719429836</v>
      </c>
      <c r="C69" s="119">
        <f t="shared" si="6"/>
        <v>1108066.5465630074</v>
      </c>
      <c r="D69" s="81">
        <f t="shared" si="0"/>
        <v>477774.95919667406</v>
      </c>
      <c r="E69" s="81">
        <f t="shared" si="7"/>
        <v>630291.58736633335</v>
      </c>
      <c r="F69" s="117">
        <f t="shared" si="10"/>
        <v>4.8000000000000029E-2</v>
      </c>
      <c r="G69" s="118">
        <f t="shared" si="8"/>
        <v>4.0907968170484921E-3</v>
      </c>
      <c r="H69" s="119">
        <f t="shared" si="1"/>
        <v>332475.36786868551</v>
      </c>
      <c r="I69" s="120">
        <f t="shared" si="2"/>
        <v>80941511.764194816</v>
      </c>
      <c r="J69" s="106">
        <f t="shared" si="11"/>
        <v>85823196.026526392</v>
      </c>
      <c r="K69" s="103">
        <f t="shared" si="3"/>
        <v>1161084.7921862407</v>
      </c>
      <c r="L69" s="80">
        <f t="shared" si="4"/>
        <v>500635.31015473732</v>
      </c>
      <c r="M69" s="105">
        <f t="shared" si="12"/>
        <v>660449.48203150334</v>
      </c>
      <c r="N69" s="140">
        <f t="shared" si="5"/>
        <v>2</v>
      </c>
      <c r="O69" s="232"/>
      <c r="P69" s="232"/>
      <c r="Q69" s="232"/>
      <c r="R69" s="235"/>
    </row>
    <row r="70" spans="1:18" x14ac:dyDescent="0.2">
      <c r="A70" s="180">
        <v>25</v>
      </c>
      <c r="B70" s="81">
        <f t="shared" si="9"/>
        <v>80941511.764194816</v>
      </c>
      <c r="C70" s="119">
        <f t="shared" si="6"/>
        <v>1103533.6714612495</v>
      </c>
      <c r="D70" s="81">
        <f t="shared" si="0"/>
        <v>472158.8186244698</v>
      </c>
      <c r="E70" s="81">
        <f t="shared" si="7"/>
        <v>631374.85283677967</v>
      </c>
      <c r="F70" s="117">
        <f t="shared" si="10"/>
        <v>5.0000000000000031E-2</v>
      </c>
      <c r="G70" s="118">
        <f t="shared" si="8"/>
        <v>4.2653187775606449E-3</v>
      </c>
      <c r="H70" s="119">
        <f t="shared" si="1"/>
        <v>342548.33499648172</v>
      </c>
      <c r="I70" s="120">
        <f t="shared" si="2"/>
        <v>79967588.576361567</v>
      </c>
      <c r="J70" s="106">
        <f t="shared" si="11"/>
        <v>85162746.544494882</v>
      </c>
      <c r="K70" s="103">
        <f t="shared" si="3"/>
        <v>1161084.7921862407</v>
      </c>
      <c r="L70" s="80">
        <f t="shared" si="4"/>
        <v>496782.68817622017</v>
      </c>
      <c r="M70" s="105">
        <f t="shared" si="12"/>
        <v>664302.1040100205</v>
      </c>
      <c r="N70" s="138">
        <f t="shared" si="5"/>
        <v>2.0833333333333335</v>
      </c>
      <c r="O70" s="230">
        <f>+SUM(D70:D81)</f>
        <v>5281187.1547591481</v>
      </c>
      <c r="P70" s="230">
        <f>+SUM(E70:E81)+SUM(H70:H81)</f>
        <v>12029070.059782717</v>
      </c>
      <c r="Q70" s="230">
        <f>+SUM(L70:L81)</f>
        <v>5700597.0242031422</v>
      </c>
      <c r="R70" s="233">
        <f>+SUM(M70:M81)</f>
        <v>8232420.4820317458</v>
      </c>
    </row>
    <row r="71" spans="1:18" x14ac:dyDescent="0.2">
      <c r="A71" s="180">
        <v>26</v>
      </c>
      <c r="B71" s="81">
        <f t="shared" si="9"/>
        <v>79967588.576361567</v>
      </c>
      <c r="C71" s="119">
        <f t="shared" si="6"/>
        <v>1098826.7485706955</v>
      </c>
      <c r="D71" s="81">
        <f t="shared" si="0"/>
        <v>466477.60002877581</v>
      </c>
      <c r="E71" s="81">
        <f t="shared" si="7"/>
        <v>632349.14854191965</v>
      </c>
      <c r="F71" s="117">
        <f t="shared" si="10"/>
        <v>5.2000000000000032E-2</v>
      </c>
      <c r="G71" s="118">
        <f t="shared" si="8"/>
        <v>4.4401778603907482E-3</v>
      </c>
      <c r="H71" s="119">
        <f t="shared" si="1"/>
        <v>352262.57365620398</v>
      </c>
      <c r="I71" s="120">
        <f t="shared" si="2"/>
        <v>78982976.854163453</v>
      </c>
      <c r="J71" s="106">
        <f t="shared" si="11"/>
        <v>84498444.440484866</v>
      </c>
      <c r="K71" s="103">
        <f t="shared" si="3"/>
        <v>1161084.7921862407</v>
      </c>
      <c r="L71" s="80">
        <f t="shared" si="4"/>
        <v>492907.59256949509</v>
      </c>
      <c r="M71" s="105">
        <f t="shared" si="12"/>
        <v>668177.19961674558</v>
      </c>
      <c r="N71" s="139">
        <f t="shared" si="5"/>
        <v>2.1666666666666665</v>
      </c>
      <c r="O71" s="231"/>
      <c r="P71" s="231"/>
      <c r="Q71" s="231"/>
      <c r="R71" s="234"/>
    </row>
    <row r="72" spans="1:18" x14ac:dyDescent="0.2">
      <c r="A72" s="180">
        <v>27</v>
      </c>
      <c r="B72" s="81">
        <f t="shared" si="9"/>
        <v>78982976.854163453</v>
      </c>
      <c r="C72" s="119">
        <f t="shared" si="6"/>
        <v>1093947.762369287</v>
      </c>
      <c r="D72" s="81">
        <f t="shared" si="0"/>
        <v>460734.03164928686</v>
      </c>
      <c r="E72" s="81">
        <f t="shared" si="7"/>
        <v>633213.73072000011</v>
      </c>
      <c r="F72" s="117">
        <f t="shared" si="10"/>
        <v>5.4000000000000034E-2</v>
      </c>
      <c r="G72" s="118">
        <f t="shared" si="8"/>
        <v>4.6153754300476413E-3</v>
      </c>
      <c r="H72" s="119">
        <f t="shared" si="1"/>
        <v>361613.57166999363</v>
      </c>
      <c r="I72" s="120">
        <f t="shared" si="2"/>
        <v>77988149.551773459</v>
      </c>
      <c r="J72" s="106">
        <f t="shared" si="11"/>
        <v>83830267.240868121</v>
      </c>
      <c r="K72" s="103">
        <f t="shared" si="3"/>
        <v>1161084.7921862407</v>
      </c>
      <c r="L72" s="80">
        <f t="shared" si="4"/>
        <v>489009.89223839738</v>
      </c>
      <c r="M72" s="105">
        <f t="shared" si="12"/>
        <v>672074.89994784328</v>
      </c>
      <c r="N72" s="139">
        <f t="shared" si="5"/>
        <v>2.25</v>
      </c>
      <c r="O72" s="231"/>
      <c r="P72" s="231"/>
      <c r="Q72" s="231"/>
      <c r="R72" s="234"/>
    </row>
    <row r="73" spans="1:18" x14ac:dyDescent="0.2">
      <c r="A73" s="180">
        <v>28</v>
      </c>
      <c r="B73" s="81">
        <f t="shared" si="9"/>
        <v>77988149.551773459</v>
      </c>
      <c r="C73" s="119">
        <f t="shared" si="6"/>
        <v>1088898.7827450922</v>
      </c>
      <c r="D73" s="81">
        <f t="shared" si="0"/>
        <v>454930.87238534522</v>
      </c>
      <c r="E73" s="81">
        <f t="shared" si="7"/>
        <v>633967.91035974701</v>
      </c>
      <c r="F73" s="117">
        <f t="shared" si="10"/>
        <v>5.6000000000000036E-2</v>
      </c>
      <c r="G73" s="118">
        <f t="shared" si="8"/>
        <v>4.7909128594627592E-3</v>
      </c>
      <c r="H73" s="119">
        <f t="shared" si="1"/>
        <v>370597.14355906704</v>
      </c>
      <c r="I73" s="120">
        <f t="shared" si="2"/>
        <v>76983584.49785465</v>
      </c>
      <c r="J73" s="106">
        <f t="shared" si="11"/>
        <v>83158192.340920284</v>
      </c>
      <c r="K73" s="103">
        <f t="shared" si="3"/>
        <v>1161084.7921862407</v>
      </c>
      <c r="L73" s="80">
        <f t="shared" si="4"/>
        <v>485089.45532203501</v>
      </c>
      <c r="M73" s="105">
        <f t="shared" si="12"/>
        <v>675995.33686420566</v>
      </c>
      <c r="N73" s="139">
        <f t="shared" si="5"/>
        <v>2.3333333333333335</v>
      </c>
      <c r="O73" s="231"/>
      <c r="P73" s="231"/>
      <c r="Q73" s="231"/>
      <c r="R73" s="234"/>
    </row>
    <row r="74" spans="1:18" x14ac:dyDescent="0.2">
      <c r="A74" s="180">
        <v>29</v>
      </c>
      <c r="B74" s="81">
        <f t="shared" si="9"/>
        <v>76983584.49785465</v>
      </c>
      <c r="C74" s="119">
        <f t="shared" si="6"/>
        <v>1083681.9635641854</v>
      </c>
      <c r="D74" s="81">
        <f t="shared" si="0"/>
        <v>449070.90957081883</v>
      </c>
      <c r="E74" s="81">
        <f t="shared" si="7"/>
        <v>634611.05399336666</v>
      </c>
      <c r="F74" s="117">
        <f t="shared" si="10"/>
        <v>5.8000000000000038E-2</v>
      </c>
      <c r="G74" s="118">
        <f t="shared" si="8"/>
        <v>4.9667915300590781E-3</v>
      </c>
      <c r="H74" s="119">
        <f t="shared" si="1"/>
        <v>379209.4346296757</v>
      </c>
      <c r="I74" s="120">
        <f t="shared" si="2"/>
        <v>75969764.009231597</v>
      </c>
      <c r="J74" s="106">
        <f t="shared" si="11"/>
        <v>82482197.004056081</v>
      </c>
      <c r="K74" s="103">
        <f t="shared" si="3"/>
        <v>1161084.7921862407</v>
      </c>
      <c r="L74" s="80">
        <f t="shared" si="4"/>
        <v>481146.14919032715</v>
      </c>
      <c r="M74" s="105">
        <f t="shared" si="12"/>
        <v>679938.64299591351</v>
      </c>
      <c r="N74" s="139">
        <f t="shared" si="5"/>
        <v>2.4166666666666665</v>
      </c>
      <c r="O74" s="231"/>
      <c r="P74" s="231"/>
      <c r="Q74" s="231"/>
      <c r="R74" s="234"/>
    </row>
    <row r="75" spans="1:18" x14ac:dyDescent="0.2">
      <c r="A75" s="180">
        <v>30</v>
      </c>
      <c r="B75" s="81">
        <f t="shared" si="9"/>
        <v>75969764.009231597</v>
      </c>
      <c r="C75" s="119">
        <f t="shared" si="6"/>
        <v>1078299.5411662769</v>
      </c>
      <c r="D75" s="81">
        <f t="shared" si="0"/>
        <v>443156.95672051766</v>
      </c>
      <c r="E75" s="81">
        <f t="shared" si="7"/>
        <v>635142.58444575919</v>
      </c>
      <c r="F75" s="117">
        <f t="shared" si="10"/>
        <v>6.0000000000000039E-2</v>
      </c>
      <c r="G75" s="118">
        <f t="shared" si="8"/>
        <v>5.1430128318229462E-3</v>
      </c>
      <c r="H75" s="119">
        <f t="shared" si="1"/>
        <v>387446.9246681974</v>
      </c>
      <c r="I75" s="120">
        <f t="shared" si="2"/>
        <v>74947174.500117645</v>
      </c>
      <c r="J75" s="106">
        <f t="shared" si="11"/>
        <v>81802258.361060172</v>
      </c>
      <c r="K75" s="103">
        <f t="shared" si="3"/>
        <v>1161084.7921862407</v>
      </c>
      <c r="L75" s="80">
        <f t="shared" si="4"/>
        <v>477179.84043951769</v>
      </c>
      <c r="M75" s="105">
        <f t="shared" si="12"/>
        <v>683904.95174672292</v>
      </c>
      <c r="N75" s="139">
        <f t="shared" si="5"/>
        <v>2.5</v>
      </c>
      <c r="O75" s="231"/>
      <c r="P75" s="231"/>
      <c r="Q75" s="231"/>
      <c r="R75" s="234"/>
    </row>
    <row r="76" spans="1:18" x14ac:dyDescent="0.2">
      <c r="A76" s="180">
        <v>31</v>
      </c>
      <c r="B76" s="81">
        <f t="shared" si="9"/>
        <v>74947174.500117645</v>
      </c>
      <c r="C76" s="119">
        <f t="shared" si="6"/>
        <v>1072753.8327895103</v>
      </c>
      <c r="D76" s="81">
        <f t="shared" si="0"/>
        <v>437191.85125068628</v>
      </c>
      <c r="E76" s="81">
        <f t="shared" si="7"/>
        <v>635561.98153882404</v>
      </c>
      <c r="F76" s="117">
        <f>+F75</f>
        <v>6.0000000000000039E-2</v>
      </c>
      <c r="G76" s="118">
        <f t="shared" si="8"/>
        <v>5.1430128318229462E-3</v>
      </c>
      <c r="H76" s="119">
        <f t="shared" si="1"/>
        <v>382185.57673650561</v>
      </c>
      <c r="I76" s="120">
        <f t="shared" si="2"/>
        <v>73929426.941842318</v>
      </c>
      <c r="J76" s="106">
        <f t="shared" si="11"/>
        <v>81118353.409313455</v>
      </c>
      <c r="K76" s="103">
        <f t="shared" si="3"/>
        <v>1161084.7921862407</v>
      </c>
      <c r="L76" s="80">
        <f t="shared" si="4"/>
        <v>473190.39488766185</v>
      </c>
      <c r="M76" s="105">
        <f t="shared" si="12"/>
        <v>687894.39729857887</v>
      </c>
      <c r="N76" s="139">
        <f t="shared" si="5"/>
        <v>2.5833333333333335</v>
      </c>
      <c r="O76" s="231"/>
      <c r="P76" s="231"/>
      <c r="Q76" s="231"/>
      <c r="R76" s="234"/>
    </row>
    <row r="77" spans="1:18" x14ac:dyDescent="0.2">
      <c r="A77" s="180">
        <v>32</v>
      </c>
      <c r="B77" s="81">
        <f t="shared" si="9"/>
        <v>73929426.941842318</v>
      </c>
      <c r="C77" s="119">
        <f t="shared" si="6"/>
        <v>1067236.6460620863</v>
      </c>
      <c r="D77" s="81">
        <f t="shared" si="0"/>
        <v>431254.99049408018</v>
      </c>
      <c r="E77" s="81">
        <f t="shared" si="7"/>
        <v>635981.65556800622</v>
      </c>
      <c r="F77" s="117">
        <f t="shared" ref="F77:F105" si="13">+F76</f>
        <v>6.0000000000000039E-2</v>
      </c>
      <c r="G77" s="118">
        <f t="shared" si="8"/>
        <v>5.1430128318229462E-3</v>
      </c>
      <c r="H77" s="119">
        <f t="shared" si="1"/>
        <v>376949.12959582184</v>
      </c>
      <c r="I77" s="120">
        <f t="shared" si="2"/>
        <v>72916496.156678498</v>
      </c>
      <c r="J77" s="106">
        <f t="shared" si="11"/>
        <v>80430459.012014881</v>
      </c>
      <c r="K77" s="103">
        <f t="shared" si="3"/>
        <v>1161084.7921862407</v>
      </c>
      <c r="L77" s="80">
        <f t="shared" si="4"/>
        <v>469177.67757008685</v>
      </c>
      <c r="M77" s="105">
        <f t="shared" si="12"/>
        <v>691907.11461615376</v>
      </c>
      <c r="N77" s="139">
        <f t="shared" si="5"/>
        <v>2.6666666666666665</v>
      </c>
      <c r="O77" s="231"/>
      <c r="P77" s="231"/>
      <c r="Q77" s="231"/>
      <c r="R77" s="234"/>
    </row>
    <row r="78" spans="1:18" x14ac:dyDescent="0.2">
      <c r="A78" s="180">
        <v>33</v>
      </c>
      <c r="B78" s="81">
        <f t="shared" si="9"/>
        <v>72916496.156678498</v>
      </c>
      <c r="C78" s="119">
        <f t="shared" si="6"/>
        <v>1061747.8342967972</v>
      </c>
      <c r="D78" s="81">
        <f t="shared" ref="D78:D109" si="14">+B78*$C$39</f>
        <v>425346.22758062457</v>
      </c>
      <c r="E78" s="81">
        <f t="shared" si="7"/>
        <v>636401.60671617254</v>
      </c>
      <c r="F78" s="117">
        <f t="shared" si="13"/>
        <v>6.0000000000000039E-2</v>
      </c>
      <c r="G78" s="118">
        <f t="shared" si="8"/>
        <v>5.1430128318229462E-3</v>
      </c>
      <c r="H78" s="119">
        <f t="shared" ref="H78:H109" si="15">+(B78-E78)*G78</f>
        <v>371737.45375583204</v>
      </c>
      <c r="I78" s="120">
        <f t="shared" ref="I78:I109" si="16">+B78-H78-E78</f>
        <v>71908357.096206501</v>
      </c>
      <c r="J78" s="106">
        <f t="shared" si="11"/>
        <v>79738551.897398725</v>
      </c>
      <c r="K78" s="103">
        <f t="shared" ref="K78:K109" si="17">+-PMT($C$39,120,+$J$46)</f>
        <v>1161084.7921862407</v>
      </c>
      <c r="L78" s="80">
        <f t="shared" si="4"/>
        <v>465141.55273482593</v>
      </c>
      <c r="M78" s="105">
        <f t="shared" si="12"/>
        <v>695943.23945141467</v>
      </c>
      <c r="N78" s="139">
        <f t="shared" ref="N78:N109" si="18">+A78/12</f>
        <v>2.75</v>
      </c>
      <c r="O78" s="231"/>
      <c r="P78" s="231"/>
      <c r="Q78" s="231"/>
      <c r="R78" s="234"/>
    </row>
    <row r="79" spans="1:18" x14ac:dyDescent="0.2">
      <c r="A79" s="180">
        <v>34</v>
      </c>
      <c r="B79" s="81">
        <f t="shared" si="9"/>
        <v>71908357.096206501</v>
      </c>
      <c r="C79" s="119">
        <f t="shared" ref="C79:C110" si="19">+-PMT($C$39,120-A78,+B79)</f>
        <v>1056287.2515608487</v>
      </c>
      <c r="D79" s="81">
        <f t="shared" si="14"/>
        <v>419465.41639453796</v>
      </c>
      <c r="E79" s="81">
        <f t="shared" si="7"/>
        <v>636821.83516631066</v>
      </c>
      <c r="F79" s="117">
        <f t="shared" si="13"/>
        <v>6.0000000000000039E-2</v>
      </c>
      <c r="G79" s="118">
        <f t="shared" si="8"/>
        <v>5.1430128318229462E-3</v>
      </c>
      <c r="H79" s="119">
        <f t="shared" si="15"/>
        <v>366550.42039125127</v>
      </c>
      <c r="I79" s="120">
        <f t="shared" si="16"/>
        <v>70904984.840648949</v>
      </c>
      <c r="J79" s="106">
        <f t="shared" si="11"/>
        <v>79042608.657947317</v>
      </c>
      <c r="K79" s="103">
        <f t="shared" si="17"/>
        <v>1161084.7921862407</v>
      </c>
      <c r="L79" s="80">
        <f t="shared" si="4"/>
        <v>461081.88383802603</v>
      </c>
      <c r="M79" s="105">
        <f t="shared" si="12"/>
        <v>700002.90834821458</v>
      </c>
      <c r="N79" s="139">
        <f t="shared" si="18"/>
        <v>2.8333333333333335</v>
      </c>
      <c r="O79" s="231"/>
      <c r="P79" s="231"/>
      <c r="Q79" s="231"/>
      <c r="R79" s="234"/>
    </row>
    <row r="80" spans="1:18" x14ac:dyDescent="0.2">
      <c r="A80" s="180">
        <v>35</v>
      </c>
      <c r="B80" s="81">
        <f t="shared" si="9"/>
        <v>70904984.840648949</v>
      </c>
      <c r="C80" s="119">
        <f t="shared" si="19"/>
        <v>1050854.7526719808</v>
      </c>
      <c r="D80" s="81">
        <f t="shared" si="14"/>
        <v>413612.41157045221</v>
      </c>
      <c r="E80" s="81">
        <f t="shared" si="7"/>
        <v>637242.34110152861</v>
      </c>
      <c r="F80" s="117">
        <f t="shared" si="13"/>
        <v>6.0000000000000039E-2</v>
      </c>
      <c r="G80" s="118">
        <f t="shared" si="8"/>
        <v>5.1430128318229462E-3</v>
      </c>
      <c r="H80" s="119">
        <f t="shared" si="15"/>
        <v>361387.901338403</v>
      </c>
      <c r="I80" s="120">
        <f t="shared" si="16"/>
        <v>69906354.598209023</v>
      </c>
      <c r="J80" s="106">
        <f t="shared" si="11"/>
        <v>78342605.749599099</v>
      </c>
      <c r="K80" s="103">
        <f t="shared" si="17"/>
        <v>1161084.7921862407</v>
      </c>
      <c r="L80" s="80">
        <f t="shared" si="4"/>
        <v>456998.53353932808</v>
      </c>
      <c r="M80" s="105">
        <f t="shared" si="12"/>
        <v>704086.25864691264</v>
      </c>
      <c r="N80" s="139">
        <f t="shared" si="18"/>
        <v>2.9166666666666665</v>
      </c>
      <c r="O80" s="231"/>
      <c r="P80" s="231"/>
      <c r="Q80" s="231"/>
      <c r="R80" s="234"/>
    </row>
    <row r="81" spans="1:18" ht="13.5" thickBot="1" x14ac:dyDescent="0.25">
      <c r="A81" s="180">
        <v>36</v>
      </c>
      <c r="B81" s="81">
        <f t="shared" si="9"/>
        <v>69906354.598209023</v>
      </c>
      <c r="C81" s="119">
        <f t="shared" si="19"/>
        <v>1045450.1931946065</v>
      </c>
      <c r="D81" s="81">
        <f t="shared" si="14"/>
        <v>407787.06848955265</v>
      </c>
      <c r="E81" s="81">
        <f t="shared" si="7"/>
        <v>637663.12470505387</v>
      </c>
      <c r="F81" s="117">
        <f t="shared" si="13"/>
        <v>6.0000000000000039E-2</v>
      </c>
      <c r="G81" s="118">
        <f t="shared" si="8"/>
        <v>5.1430128318229462E-3</v>
      </c>
      <c r="H81" s="119">
        <f t="shared" si="15"/>
        <v>356249.76909181563</v>
      </c>
      <c r="I81" s="120">
        <f t="shared" si="16"/>
        <v>68912441.704412162</v>
      </c>
      <c r="J81" s="106">
        <f t="shared" si="11"/>
        <v>77638519.490952194</v>
      </c>
      <c r="K81" s="103">
        <f t="shared" si="17"/>
        <v>1161084.7921862407</v>
      </c>
      <c r="L81" s="80">
        <f t="shared" si="4"/>
        <v>452891.36369722115</v>
      </c>
      <c r="M81" s="105">
        <f t="shared" si="12"/>
        <v>708193.42848901951</v>
      </c>
      <c r="N81" s="140">
        <f t="shared" si="18"/>
        <v>3</v>
      </c>
      <c r="O81" s="232"/>
      <c r="P81" s="232"/>
      <c r="Q81" s="232"/>
      <c r="R81" s="235"/>
    </row>
    <row r="82" spans="1:18" x14ac:dyDescent="0.2">
      <c r="A82" s="180">
        <v>37</v>
      </c>
      <c r="B82" s="81">
        <f t="shared" si="9"/>
        <v>68912441.704412162</v>
      </c>
      <c r="C82" s="119">
        <f t="shared" si="19"/>
        <v>1040073.4294359749</v>
      </c>
      <c r="D82" s="81">
        <f t="shared" si="14"/>
        <v>401989.24327573762</v>
      </c>
      <c r="E82" s="81">
        <f t="shared" si="7"/>
        <v>638084.1861602373</v>
      </c>
      <c r="F82" s="117">
        <f t="shared" si="13"/>
        <v>6.0000000000000039E-2</v>
      </c>
      <c r="G82" s="118">
        <f t="shared" si="8"/>
        <v>5.1430128318229462E-3</v>
      </c>
      <c r="H82" s="119">
        <f t="shared" si="15"/>
        <v>351135.89680083707</v>
      </c>
      <c r="I82" s="120">
        <f t="shared" si="16"/>
        <v>67923221.621451095</v>
      </c>
      <c r="J82" s="106">
        <f t="shared" si="11"/>
        <v>76930326.062463179</v>
      </c>
      <c r="K82" s="103">
        <f t="shared" si="17"/>
        <v>1161084.7921862407</v>
      </c>
      <c r="L82" s="80">
        <f t="shared" si="4"/>
        <v>448760.23536436859</v>
      </c>
      <c r="M82" s="105">
        <f t="shared" si="12"/>
        <v>712324.55682187201</v>
      </c>
      <c r="N82" s="138">
        <f t="shared" si="18"/>
        <v>3.0833333333333335</v>
      </c>
      <c r="O82" s="230">
        <f>+SUM(D82:D93)</f>
        <v>4448942.7452019015</v>
      </c>
      <c r="P82" s="230">
        <f>+SUM(E82:E93)+SUM(H82:H93)</f>
        <v>11567808.439288566</v>
      </c>
      <c r="Q82" s="230">
        <f>+SUM(L82:L93)</f>
        <v>5105474.6819145381</v>
      </c>
      <c r="R82" s="233">
        <f>+SUM(M82:M93)</f>
        <v>8827542.8243203498</v>
      </c>
    </row>
    <row r="83" spans="1:18" x14ac:dyDescent="0.2">
      <c r="A83" s="180">
        <v>38</v>
      </c>
      <c r="B83" s="81">
        <f t="shared" si="9"/>
        <v>67923221.621451095</v>
      </c>
      <c r="C83" s="119">
        <f t="shared" si="19"/>
        <v>1034724.3184423477</v>
      </c>
      <c r="D83" s="81">
        <f t="shared" si="14"/>
        <v>396218.79279179807</v>
      </c>
      <c r="E83" s="81">
        <f t="shared" si="7"/>
        <v>638505.52565054968</v>
      </c>
      <c r="F83" s="117">
        <f t="shared" si="13"/>
        <v>6.0000000000000039E-2</v>
      </c>
      <c r="G83" s="118">
        <f t="shared" si="8"/>
        <v>5.1430128318229462E-3</v>
      </c>
      <c r="H83" s="119">
        <f t="shared" si="15"/>
        <v>346046.15826626617</v>
      </c>
      <c r="I83" s="120">
        <f t="shared" si="16"/>
        <v>66938669.937534288</v>
      </c>
      <c r="J83" s="106">
        <f t="shared" si="11"/>
        <v>76218001.505641311</v>
      </c>
      <c r="K83" s="103">
        <f t="shared" si="17"/>
        <v>1161084.7921862407</v>
      </c>
      <c r="L83" s="80">
        <f t="shared" si="4"/>
        <v>444605.00878290768</v>
      </c>
      <c r="M83" s="105">
        <f t="shared" si="12"/>
        <v>716479.78340333304</v>
      </c>
      <c r="N83" s="139">
        <f t="shared" si="18"/>
        <v>3.1666666666666665</v>
      </c>
      <c r="O83" s="231"/>
      <c r="P83" s="231"/>
      <c r="Q83" s="231"/>
      <c r="R83" s="234"/>
    </row>
    <row r="84" spans="1:18" x14ac:dyDescent="0.2">
      <c r="A84" s="180">
        <v>39</v>
      </c>
      <c r="B84" s="81">
        <f t="shared" si="9"/>
        <v>66938669.937534288</v>
      </c>
      <c r="C84" s="119">
        <f t="shared" si="19"/>
        <v>1029402.7179951996</v>
      </c>
      <c r="D84" s="81">
        <f t="shared" si="14"/>
        <v>390475.57463561668</v>
      </c>
      <c r="E84" s="81">
        <f t="shared" si="7"/>
        <v>638927.14335958287</v>
      </c>
      <c r="F84" s="117">
        <f t="shared" si="13"/>
        <v>6.0000000000000039E-2</v>
      </c>
      <c r="G84" s="118">
        <f t="shared" si="8"/>
        <v>5.1430128318229462E-3</v>
      </c>
      <c r="H84" s="119">
        <f t="shared" si="15"/>
        <v>340980.4279370014</v>
      </c>
      <c r="I84" s="120">
        <f t="shared" si="16"/>
        <v>65958762.3662377</v>
      </c>
      <c r="J84" s="106">
        <f t="shared" si="11"/>
        <v>75501521.722237974</v>
      </c>
      <c r="K84" s="103">
        <f t="shared" si="17"/>
        <v>1161084.7921862407</v>
      </c>
      <c r="L84" s="80">
        <f t="shared" si="4"/>
        <v>440425.54337972152</v>
      </c>
      <c r="M84" s="105">
        <f t="shared" si="12"/>
        <v>720659.2488065192</v>
      </c>
      <c r="N84" s="139">
        <f t="shared" si="18"/>
        <v>3.25</v>
      </c>
      <c r="O84" s="231"/>
      <c r="P84" s="231"/>
      <c r="Q84" s="231"/>
      <c r="R84" s="234"/>
    </row>
    <row r="85" spans="1:18" x14ac:dyDescent="0.2">
      <c r="A85" s="180">
        <v>40</v>
      </c>
      <c r="B85" s="81">
        <f t="shared" si="9"/>
        <v>65958762.3662377</v>
      </c>
      <c r="C85" s="119">
        <f t="shared" si="19"/>
        <v>1024108.4866074369</v>
      </c>
      <c r="D85" s="81">
        <f t="shared" si="14"/>
        <v>384759.44713638659</v>
      </c>
      <c r="E85" s="81">
        <f t="shared" si="7"/>
        <v>639349.03947105026</v>
      </c>
      <c r="F85" s="117">
        <f t="shared" si="13"/>
        <v>6.0000000000000039E-2</v>
      </c>
      <c r="G85" s="118">
        <f t="shared" si="8"/>
        <v>5.1430128318229462E-3</v>
      </c>
      <c r="H85" s="119">
        <f t="shared" si="15"/>
        <v>335938.58090670762</v>
      </c>
      <c r="I85" s="120">
        <f t="shared" si="16"/>
        <v>64983474.745859943</v>
      </c>
      <c r="J85" s="106">
        <f t="shared" si="11"/>
        <v>74780862.473431453</v>
      </c>
      <c r="K85" s="103">
        <f t="shared" si="17"/>
        <v>1161084.7921862407</v>
      </c>
      <c r="L85" s="80">
        <f t="shared" si="4"/>
        <v>436221.69776168349</v>
      </c>
      <c r="M85" s="105">
        <f t="shared" si="12"/>
        <v>724863.09442455717</v>
      </c>
      <c r="N85" s="139">
        <f t="shared" si="18"/>
        <v>3.3333333333333335</v>
      </c>
      <c r="O85" s="231"/>
      <c r="P85" s="231"/>
      <c r="Q85" s="231"/>
      <c r="R85" s="234"/>
    </row>
    <row r="86" spans="1:18" x14ac:dyDescent="0.2">
      <c r="A86" s="180">
        <v>41</v>
      </c>
      <c r="B86" s="81">
        <f t="shared" si="9"/>
        <v>64983474.745859943</v>
      </c>
      <c r="C86" s="119">
        <f t="shared" si="19"/>
        <v>1018841.4835196362</v>
      </c>
      <c r="D86" s="81">
        <f t="shared" si="14"/>
        <v>379070.26935084967</v>
      </c>
      <c r="E86" s="81">
        <f t="shared" si="7"/>
        <v>639771.21416878654</v>
      </c>
      <c r="F86" s="117">
        <f t="shared" si="13"/>
        <v>6.0000000000000039E-2</v>
      </c>
      <c r="G86" s="118">
        <f t="shared" si="8"/>
        <v>5.1430128318229462E-3</v>
      </c>
      <c r="H86" s="119">
        <f t="shared" si="15"/>
        <v>330920.49291049904</v>
      </c>
      <c r="I86" s="120">
        <f t="shared" si="16"/>
        <v>64012783.038780659</v>
      </c>
      <c r="J86" s="121">
        <f t="shared" si="11"/>
        <v>74055999.379006892</v>
      </c>
      <c r="K86" s="119">
        <f t="shared" si="17"/>
        <v>1161084.7921862407</v>
      </c>
      <c r="L86" s="81">
        <f t="shared" si="4"/>
        <v>431993.32971087354</v>
      </c>
      <c r="M86" s="122">
        <f t="shared" si="12"/>
        <v>729091.46247536712</v>
      </c>
      <c r="N86" s="139">
        <f t="shared" si="18"/>
        <v>3.4166666666666665</v>
      </c>
      <c r="O86" s="231"/>
      <c r="P86" s="231"/>
      <c r="Q86" s="231"/>
      <c r="R86" s="234"/>
    </row>
    <row r="87" spans="1:18" x14ac:dyDescent="0.2">
      <c r="A87" s="180">
        <v>42</v>
      </c>
      <c r="B87" s="81">
        <f t="shared" si="9"/>
        <v>64012783.038780659</v>
      </c>
      <c r="C87" s="119">
        <f t="shared" si="19"/>
        <v>1013601.5686963012</v>
      </c>
      <c r="D87" s="81">
        <f t="shared" si="14"/>
        <v>373407.90105955384</v>
      </c>
      <c r="E87" s="81">
        <f t="shared" si="7"/>
        <v>640193.66763674736</v>
      </c>
      <c r="F87" s="117">
        <f t="shared" si="13"/>
        <v>6.0000000000000039E-2</v>
      </c>
      <c r="G87" s="118">
        <f t="shared" si="8"/>
        <v>5.1430128318229462E-3</v>
      </c>
      <c r="H87" s="119">
        <f t="shared" si="15"/>
        <v>325926.04032163962</v>
      </c>
      <c r="I87" s="120">
        <f t="shared" si="16"/>
        <v>63046663.330822274</v>
      </c>
      <c r="J87" s="121">
        <f t="shared" si="11"/>
        <v>73326907.916531518</v>
      </c>
      <c r="K87" s="119">
        <f t="shared" si="17"/>
        <v>1161084.7921862407</v>
      </c>
      <c r="L87" s="81">
        <f t="shared" si="4"/>
        <v>427740.29617976723</v>
      </c>
      <c r="M87" s="122">
        <f t="shared" si="12"/>
        <v>733344.49600647343</v>
      </c>
      <c r="N87" s="139">
        <f t="shared" si="18"/>
        <v>3.5</v>
      </c>
      <c r="O87" s="231"/>
      <c r="P87" s="231"/>
      <c r="Q87" s="231"/>
      <c r="R87" s="234"/>
    </row>
    <row r="88" spans="1:18" x14ac:dyDescent="0.2">
      <c r="A88" s="180">
        <v>43</v>
      </c>
      <c r="B88" s="81">
        <f t="shared" si="9"/>
        <v>63046663.330822274</v>
      </c>
      <c r="C88" s="119">
        <f t="shared" si="19"/>
        <v>1008388.6028221402</v>
      </c>
      <c r="D88" s="81">
        <f t="shared" si="14"/>
        <v>367772.20276312996</v>
      </c>
      <c r="E88" s="81">
        <f t="shared" si="7"/>
        <v>640616.40005901025</v>
      </c>
      <c r="F88" s="117">
        <f t="shared" si="13"/>
        <v>6.0000000000000039E-2</v>
      </c>
      <c r="G88" s="118">
        <f t="shared" si="8"/>
        <v>5.1430128318229462E-3</v>
      </c>
      <c r="H88" s="119">
        <f t="shared" si="15"/>
        <v>320955.10014826048</v>
      </c>
      <c r="I88" s="120">
        <f t="shared" si="16"/>
        <v>62085091.830615006</v>
      </c>
      <c r="J88" s="121">
        <f t="shared" si="11"/>
        <v>72593563.420525044</v>
      </c>
      <c r="K88" s="119">
        <f t="shared" si="17"/>
        <v>1161084.7921862407</v>
      </c>
      <c r="L88" s="81">
        <f t="shared" si="4"/>
        <v>423462.45328639611</v>
      </c>
      <c r="M88" s="122">
        <f t="shared" si="12"/>
        <v>737622.33889984456</v>
      </c>
      <c r="N88" s="139">
        <f t="shared" si="18"/>
        <v>3.5833333333333335</v>
      </c>
      <c r="O88" s="231"/>
      <c r="P88" s="231"/>
      <c r="Q88" s="231"/>
      <c r="R88" s="234"/>
    </row>
    <row r="89" spans="1:18" x14ac:dyDescent="0.2">
      <c r="A89" s="180">
        <v>44</v>
      </c>
      <c r="B89" s="81">
        <f t="shared" si="9"/>
        <v>62085091.830615006</v>
      </c>
      <c r="C89" s="119">
        <f t="shared" si="19"/>
        <v>1003202.447298362</v>
      </c>
      <c r="D89" s="81">
        <f t="shared" si="14"/>
        <v>362163.03567858756</v>
      </c>
      <c r="E89" s="81">
        <f t="shared" si="7"/>
        <v>641039.41161977453</v>
      </c>
      <c r="F89" s="117">
        <f t="shared" si="13"/>
        <v>6.0000000000000039E-2</v>
      </c>
      <c r="G89" s="118">
        <f t="shared" si="8"/>
        <v>5.1430128318229462E-3</v>
      </c>
      <c r="H89" s="119">
        <f t="shared" si="15"/>
        <v>316007.55003009422</v>
      </c>
      <c r="I89" s="120">
        <f t="shared" si="16"/>
        <v>61128044.868965134</v>
      </c>
      <c r="J89" s="121">
        <f t="shared" si="11"/>
        <v>71855941.081625193</v>
      </c>
      <c r="K89" s="119">
        <f t="shared" si="17"/>
        <v>1161084.7921862407</v>
      </c>
      <c r="L89" s="81">
        <f t="shared" si="4"/>
        <v>419159.65630948031</v>
      </c>
      <c r="M89" s="122">
        <f t="shared" si="12"/>
        <v>741925.13587676035</v>
      </c>
      <c r="N89" s="139">
        <f t="shared" si="18"/>
        <v>3.6666666666666665</v>
      </c>
      <c r="O89" s="231"/>
      <c r="P89" s="231"/>
      <c r="Q89" s="231"/>
      <c r="R89" s="234"/>
    </row>
    <row r="90" spans="1:18" x14ac:dyDescent="0.2">
      <c r="A90" s="180">
        <v>45</v>
      </c>
      <c r="B90" s="81">
        <f t="shared" si="9"/>
        <v>61128044.868965134</v>
      </c>
      <c r="C90" s="119">
        <f t="shared" si="19"/>
        <v>998042.96423899033</v>
      </c>
      <c r="D90" s="81">
        <f t="shared" si="14"/>
        <v>356580.26173562999</v>
      </c>
      <c r="E90" s="81">
        <f t="shared" si="7"/>
        <v>641462.70250336034</v>
      </c>
      <c r="F90" s="117">
        <f t="shared" si="13"/>
        <v>6.0000000000000039E-2</v>
      </c>
      <c r="G90" s="118">
        <f t="shared" si="8"/>
        <v>5.1430128318229462E-3</v>
      </c>
      <c r="H90" s="119">
        <f t="shared" si="15"/>
        <v>311083.26823522587</v>
      </c>
      <c r="I90" s="120">
        <f t="shared" si="16"/>
        <v>60175498.898226544</v>
      </c>
      <c r="J90" s="121">
        <f t="shared" si="11"/>
        <v>71114015.945748433</v>
      </c>
      <c r="K90" s="119">
        <f t="shared" si="17"/>
        <v>1161084.7921862407</v>
      </c>
      <c r="L90" s="81">
        <f t="shared" si="4"/>
        <v>414831.75968353252</v>
      </c>
      <c r="M90" s="122">
        <f t="shared" si="12"/>
        <v>746253.03250270814</v>
      </c>
      <c r="N90" s="139">
        <f t="shared" si="18"/>
        <v>3.75</v>
      </c>
      <c r="O90" s="231"/>
      <c r="P90" s="231"/>
      <c r="Q90" s="231"/>
      <c r="R90" s="234"/>
    </row>
    <row r="91" spans="1:18" x14ac:dyDescent="0.2">
      <c r="A91" s="180">
        <v>46</v>
      </c>
      <c r="B91" s="81">
        <f t="shared" si="9"/>
        <v>60175498.898226544</v>
      </c>
      <c r="C91" s="119">
        <f t="shared" si="19"/>
        <v>992910.0164671985</v>
      </c>
      <c r="D91" s="81">
        <f t="shared" si="14"/>
        <v>351023.7435729882</v>
      </c>
      <c r="E91" s="81">
        <f t="shared" si="7"/>
        <v>641886.2728942103</v>
      </c>
      <c r="F91" s="117">
        <f t="shared" si="13"/>
        <v>6.0000000000000039E-2</v>
      </c>
      <c r="G91" s="118">
        <f t="shared" si="8"/>
        <v>5.1430128318229462E-3</v>
      </c>
      <c r="H91" s="119">
        <f t="shared" si="15"/>
        <v>306182.13365686074</v>
      </c>
      <c r="I91" s="120">
        <f t="shared" si="16"/>
        <v>59227430.491675474</v>
      </c>
      <c r="J91" s="121">
        <f t="shared" si="11"/>
        <v>70367762.913245723</v>
      </c>
      <c r="K91" s="119">
        <f t="shared" si="17"/>
        <v>1161084.7921862407</v>
      </c>
      <c r="L91" s="81">
        <f t="shared" si="4"/>
        <v>410478.61699393339</v>
      </c>
      <c r="M91" s="122">
        <f t="shared" si="12"/>
        <v>750606.17519230722</v>
      </c>
      <c r="N91" s="139">
        <f t="shared" si="18"/>
        <v>3.8333333333333335</v>
      </c>
      <c r="O91" s="231"/>
      <c r="P91" s="231"/>
      <c r="Q91" s="231"/>
      <c r="R91" s="234"/>
    </row>
    <row r="92" spans="1:18" x14ac:dyDescent="0.2">
      <c r="A92" s="180">
        <v>47</v>
      </c>
      <c r="B92" s="81">
        <f t="shared" si="9"/>
        <v>59227430.491675474</v>
      </c>
      <c r="C92" s="119">
        <f t="shared" si="19"/>
        <v>987803.46751166217</v>
      </c>
      <c r="D92" s="81">
        <f t="shared" si="14"/>
        <v>345493.34453477361</v>
      </c>
      <c r="E92" s="81">
        <f t="shared" si="7"/>
        <v>642310.12297688855</v>
      </c>
      <c r="F92" s="117">
        <f t="shared" si="13"/>
        <v>6.0000000000000039E-2</v>
      </c>
      <c r="G92" s="118">
        <f t="shared" si="8"/>
        <v>5.1430128318229462E-3</v>
      </c>
      <c r="H92" s="119">
        <f t="shared" si="15"/>
        <v>301304.02581010864</v>
      </c>
      <c r="I92" s="120">
        <f t="shared" si="16"/>
        <v>58283816.342888474</v>
      </c>
      <c r="J92" s="121">
        <f t="shared" si="11"/>
        <v>69617156.738053411</v>
      </c>
      <c r="K92" s="119">
        <f t="shared" si="17"/>
        <v>1161084.7921862407</v>
      </c>
      <c r="L92" s="81">
        <f t="shared" si="4"/>
        <v>406100.08097197826</v>
      </c>
      <c r="M92" s="122">
        <f t="shared" si="12"/>
        <v>754984.71121426241</v>
      </c>
      <c r="N92" s="139">
        <f t="shared" si="18"/>
        <v>3.9166666666666665</v>
      </c>
      <c r="O92" s="231"/>
      <c r="P92" s="231"/>
      <c r="Q92" s="231"/>
      <c r="R92" s="234"/>
    </row>
    <row r="93" spans="1:18" ht="13.5" thickBot="1" x14ac:dyDescent="0.25">
      <c r="A93" s="180">
        <v>48</v>
      </c>
      <c r="B93" s="81">
        <f t="shared" si="9"/>
        <v>58283816.342888474</v>
      </c>
      <c r="C93" s="119">
        <f t="shared" si="19"/>
        <v>982723.18160293042</v>
      </c>
      <c r="D93" s="81">
        <f t="shared" si="14"/>
        <v>339988.92866684945</v>
      </c>
      <c r="E93" s="81">
        <f t="shared" si="7"/>
        <v>642734.25293608103</v>
      </c>
      <c r="F93" s="117">
        <f t="shared" si="13"/>
        <v>6.0000000000000039E-2</v>
      </c>
      <c r="G93" s="118">
        <f t="shared" si="8"/>
        <v>5.1430128318229462E-3</v>
      </c>
      <c r="H93" s="119">
        <f t="shared" si="15"/>
        <v>296448.82482878497</v>
      </c>
      <c r="I93" s="120">
        <f t="shared" si="16"/>
        <v>57344633.265123606</v>
      </c>
      <c r="J93" s="121">
        <f t="shared" si="11"/>
        <v>68862172.026839152</v>
      </c>
      <c r="K93" s="119">
        <f t="shared" si="17"/>
        <v>1161084.7921862407</v>
      </c>
      <c r="L93" s="81">
        <f t="shared" si="4"/>
        <v>401696.00348989508</v>
      </c>
      <c r="M93" s="122">
        <f t="shared" si="12"/>
        <v>759388.78869634564</v>
      </c>
      <c r="N93" s="140">
        <f t="shared" si="18"/>
        <v>4</v>
      </c>
      <c r="O93" s="232"/>
      <c r="P93" s="232"/>
      <c r="Q93" s="232"/>
      <c r="R93" s="235"/>
    </row>
    <row r="94" spans="1:18" x14ac:dyDescent="0.2">
      <c r="A94" s="180">
        <v>49</v>
      </c>
      <c r="B94" s="81">
        <f t="shared" si="9"/>
        <v>57344633.265123606</v>
      </c>
      <c r="C94" s="119">
        <f t="shared" si="19"/>
        <v>977669.02366981667</v>
      </c>
      <c r="D94" s="81">
        <f t="shared" si="14"/>
        <v>334510.36071322107</v>
      </c>
      <c r="E94" s="81">
        <f t="shared" si="7"/>
        <v>643158.66295659565</v>
      </c>
      <c r="F94" s="117">
        <f t="shared" si="13"/>
        <v>6.0000000000000039E-2</v>
      </c>
      <c r="G94" s="118">
        <f t="shared" si="8"/>
        <v>5.1430128318229462E-3</v>
      </c>
      <c r="H94" s="119">
        <f t="shared" si="15"/>
        <v>291616.41146222781</v>
      </c>
      <c r="I94" s="120">
        <f t="shared" si="16"/>
        <v>56409858.190704785</v>
      </c>
      <c r="J94" s="121">
        <f t="shared" si="11"/>
        <v>68102783.238142803</v>
      </c>
      <c r="K94" s="119">
        <f t="shared" si="17"/>
        <v>1161084.7921862407</v>
      </c>
      <c r="L94" s="81">
        <f t="shared" si="4"/>
        <v>397266.23555583303</v>
      </c>
      <c r="M94" s="122">
        <f t="shared" si="12"/>
        <v>763818.55663040769</v>
      </c>
      <c r="N94" s="138">
        <f t="shared" si="18"/>
        <v>4.083333333333333</v>
      </c>
      <c r="O94" s="230">
        <f>+SUM(D94:D105)</f>
        <v>3659798.0238290131</v>
      </c>
      <c r="P94" s="230">
        <f>+SUM(E94:E105)+SUM(H94:H105)</f>
        <v>10932852.666240469</v>
      </c>
      <c r="Q94" s="230">
        <f>+SUM(L94:L105)</f>
        <v>4467330.8973825369</v>
      </c>
      <c r="R94" s="233">
        <f>+SUM(M94:M105)</f>
        <v>9465686.6088523529</v>
      </c>
    </row>
    <row r="95" spans="1:18" x14ac:dyDescent="0.2">
      <c r="A95" s="180">
        <v>50</v>
      </c>
      <c r="B95" s="81">
        <f t="shared" si="9"/>
        <v>56409858.190704785</v>
      </c>
      <c r="C95" s="119">
        <f t="shared" si="19"/>
        <v>972640.85933580704</v>
      </c>
      <c r="D95" s="81">
        <f t="shared" si="14"/>
        <v>329057.50611244462</v>
      </c>
      <c r="E95" s="81">
        <f t="shared" si="7"/>
        <v>643583.35322336247</v>
      </c>
      <c r="F95" s="117">
        <f t="shared" si="13"/>
        <v>6.0000000000000039E-2</v>
      </c>
      <c r="G95" s="118">
        <f t="shared" si="8"/>
        <v>5.1430128318229462E-3</v>
      </c>
      <c r="H95" s="119">
        <f t="shared" si="15"/>
        <v>286806.66707213206</v>
      </c>
      <c r="I95" s="120">
        <f t="shared" si="16"/>
        <v>55479468.170409292</v>
      </c>
      <c r="J95" s="121">
        <f t="shared" si="11"/>
        <v>67338964.681512401</v>
      </c>
      <c r="K95" s="119">
        <f t="shared" si="17"/>
        <v>1161084.7921862407</v>
      </c>
      <c r="L95" s="81">
        <f t="shared" si="4"/>
        <v>392810.62730882235</v>
      </c>
      <c r="M95" s="122">
        <f t="shared" si="12"/>
        <v>768274.16487741831</v>
      </c>
      <c r="N95" s="139">
        <f t="shared" si="18"/>
        <v>4.166666666666667</v>
      </c>
      <c r="O95" s="231"/>
      <c r="P95" s="231"/>
      <c r="Q95" s="231"/>
      <c r="R95" s="234"/>
    </row>
    <row r="96" spans="1:18" x14ac:dyDescent="0.2">
      <c r="A96" s="180">
        <v>51</v>
      </c>
      <c r="B96" s="81">
        <f t="shared" si="9"/>
        <v>55479468.170409292</v>
      </c>
      <c r="C96" s="119">
        <f t="shared" si="19"/>
        <v>967638.55491548765</v>
      </c>
      <c r="D96" s="81">
        <f t="shared" si="14"/>
        <v>323630.23099405423</v>
      </c>
      <c r="E96" s="81">
        <f t="shared" si="7"/>
        <v>644008.32392143342</v>
      </c>
      <c r="F96" s="117">
        <f t="shared" si="13"/>
        <v>6.0000000000000039E-2</v>
      </c>
      <c r="G96" s="118">
        <f t="shared" si="8"/>
        <v>5.1430128318229462E-3</v>
      </c>
      <c r="H96" s="119">
        <f t="shared" si="15"/>
        <v>282019.47362939897</v>
      </c>
      <c r="I96" s="120">
        <f t="shared" si="16"/>
        <v>54553440.372858457</v>
      </c>
      <c r="J96" s="121">
        <f t="shared" si="11"/>
        <v>66570690.516634986</v>
      </c>
      <c r="K96" s="119">
        <f t="shared" si="17"/>
        <v>1161084.7921862407</v>
      </c>
      <c r="L96" s="81">
        <f t="shared" si="4"/>
        <v>388329.02801370411</v>
      </c>
      <c r="M96" s="122">
        <f t="shared" si="12"/>
        <v>772755.76417253655</v>
      </c>
      <c r="N96" s="139">
        <f t="shared" si="18"/>
        <v>4.25</v>
      </c>
      <c r="O96" s="231"/>
      <c r="P96" s="231"/>
      <c r="Q96" s="231"/>
      <c r="R96" s="234"/>
    </row>
    <row r="97" spans="1:18" x14ac:dyDescent="0.2">
      <c r="A97" s="180">
        <v>52</v>
      </c>
      <c r="B97" s="81">
        <f t="shared" si="9"/>
        <v>54553440.372858457</v>
      </c>
      <c r="C97" s="119">
        <f t="shared" si="19"/>
        <v>962661.97741099063</v>
      </c>
      <c r="D97" s="81">
        <f t="shared" si="14"/>
        <v>318228.40217500768</v>
      </c>
      <c r="E97" s="81">
        <f t="shared" si="7"/>
        <v>644433.57523598289</v>
      </c>
      <c r="F97" s="117">
        <f t="shared" si="13"/>
        <v>6.0000000000000039E-2</v>
      </c>
      <c r="G97" s="118">
        <f t="shared" si="8"/>
        <v>5.1430128318229462E-3</v>
      </c>
      <c r="H97" s="119">
        <f t="shared" si="15"/>
        <v>277254.71371100278</v>
      </c>
      <c r="I97" s="120">
        <f t="shared" si="16"/>
        <v>53631752.083911471</v>
      </c>
      <c r="J97" s="121">
        <f t="shared" si="11"/>
        <v>65797934.752462447</v>
      </c>
      <c r="K97" s="119">
        <f t="shared" si="17"/>
        <v>1161084.7921862407</v>
      </c>
      <c r="L97" s="81">
        <f t="shared" si="4"/>
        <v>383821.28605603095</v>
      </c>
      <c r="M97" s="122">
        <f t="shared" si="12"/>
        <v>777263.50613020966</v>
      </c>
      <c r="N97" s="139">
        <f t="shared" si="18"/>
        <v>4.333333333333333</v>
      </c>
      <c r="O97" s="231"/>
      <c r="P97" s="231"/>
      <c r="Q97" s="231"/>
      <c r="R97" s="234"/>
    </row>
    <row r="98" spans="1:18" x14ac:dyDescent="0.2">
      <c r="A98" s="180">
        <v>53</v>
      </c>
      <c r="B98" s="81">
        <f t="shared" si="9"/>
        <v>53631752.083911471</v>
      </c>
      <c r="C98" s="119">
        <f t="shared" si="19"/>
        <v>957710.99450845795</v>
      </c>
      <c r="D98" s="81">
        <f t="shared" si="14"/>
        <v>312851.88715615025</v>
      </c>
      <c r="E98" s="81">
        <f t="shared" si="7"/>
        <v>644859.10735230776</v>
      </c>
      <c r="F98" s="117">
        <f t="shared" si="13"/>
        <v>6.0000000000000039E-2</v>
      </c>
      <c r="G98" s="118">
        <f t="shared" si="8"/>
        <v>5.1430128318229462E-3</v>
      </c>
      <c r="H98" s="119">
        <f t="shared" si="15"/>
        <v>272512.27049687289</v>
      </c>
      <c r="I98" s="120">
        <f t="shared" si="16"/>
        <v>52714380.706062287</v>
      </c>
      <c r="J98" s="121">
        <f t="shared" si="11"/>
        <v>65020671.246332236</v>
      </c>
      <c r="K98" s="119">
        <f t="shared" si="17"/>
        <v>1161084.7921862407</v>
      </c>
      <c r="L98" s="81">
        <f t="shared" si="4"/>
        <v>379287.24893693806</v>
      </c>
      <c r="M98" s="122">
        <f t="shared" si="12"/>
        <v>781797.54324930254</v>
      </c>
      <c r="N98" s="139">
        <f t="shared" si="18"/>
        <v>4.416666666666667</v>
      </c>
      <c r="O98" s="231"/>
      <c r="P98" s="231"/>
      <c r="Q98" s="231"/>
      <c r="R98" s="234"/>
    </row>
    <row r="99" spans="1:18" x14ac:dyDescent="0.2">
      <c r="A99" s="180">
        <v>54</v>
      </c>
      <c r="B99" s="81">
        <f t="shared" si="9"/>
        <v>52714380.706062287</v>
      </c>
      <c r="C99" s="119">
        <f t="shared" si="19"/>
        <v>952785.47457452305</v>
      </c>
      <c r="D99" s="81">
        <f t="shared" si="14"/>
        <v>307500.55411869672</v>
      </c>
      <c r="E99" s="81">
        <f t="shared" si="7"/>
        <v>645284.92045582633</v>
      </c>
      <c r="F99" s="117">
        <f t="shared" si="13"/>
        <v>6.0000000000000039E-2</v>
      </c>
      <c r="G99" s="118">
        <f t="shared" si="8"/>
        <v>5.1430128318229462E-3</v>
      </c>
      <c r="H99" s="119">
        <f t="shared" si="15"/>
        <v>267792.0277667921</v>
      </c>
      <c r="I99" s="120">
        <f t="shared" si="16"/>
        <v>51801303.757839665</v>
      </c>
      <c r="J99" s="121">
        <f t="shared" si="11"/>
        <v>64238873.703082934</v>
      </c>
      <c r="K99" s="119">
        <f t="shared" si="17"/>
        <v>1161084.7921862407</v>
      </c>
      <c r="L99" s="81">
        <f t="shared" si="4"/>
        <v>374726.7632679838</v>
      </c>
      <c r="M99" s="122">
        <f t="shared" si="12"/>
        <v>786358.02891825687</v>
      </c>
      <c r="N99" s="139">
        <f t="shared" si="18"/>
        <v>4.5</v>
      </c>
      <c r="O99" s="231"/>
      <c r="P99" s="231"/>
      <c r="Q99" s="231"/>
      <c r="R99" s="234"/>
    </row>
    <row r="100" spans="1:18" x14ac:dyDescent="0.2">
      <c r="A100" s="180">
        <v>55</v>
      </c>
      <c r="B100" s="81">
        <f t="shared" si="9"/>
        <v>51801303.757839665</v>
      </c>
      <c r="C100" s="119">
        <f t="shared" si="19"/>
        <v>947885.28665281157</v>
      </c>
      <c r="D100" s="81">
        <f t="shared" si="14"/>
        <v>302174.27192073141</v>
      </c>
      <c r="E100" s="81">
        <f t="shared" si="7"/>
        <v>645711.01473208016</v>
      </c>
      <c r="F100" s="117">
        <f t="shared" si="13"/>
        <v>6.0000000000000039E-2</v>
      </c>
      <c r="G100" s="118">
        <f t="shared" si="8"/>
        <v>5.1430128318229462E-3</v>
      </c>
      <c r="H100" s="119">
        <f t="shared" si="15"/>
        <v>263093.86989731109</v>
      </c>
      <c r="I100" s="120">
        <f t="shared" si="16"/>
        <v>50892498.873210274</v>
      </c>
      <c r="J100" s="121">
        <f t="shared" si="11"/>
        <v>63452515.674164675</v>
      </c>
      <c r="K100" s="119">
        <f t="shared" si="17"/>
        <v>1161084.7921862407</v>
      </c>
      <c r="L100" s="81">
        <f t="shared" si="4"/>
        <v>370139.6747659606</v>
      </c>
      <c r="M100" s="122">
        <f t="shared" si="12"/>
        <v>790945.11742028012</v>
      </c>
      <c r="N100" s="139">
        <f t="shared" si="18"/>
        <v>4.583333333333333</v>
      </c>
      <c r="O100" s="231"/>
      <c r="P100" s="231"/>
      <c r="Q100" s="231"/>
      <c r="R100" s="234"/>
    </row>
    <row r="101" spans="1:18" x14ac:dyDescent="0.2">
      <c r="A101" s="180">
        <v>56</v>
      </c>
      <c r="B101" s="81">
        <f t="shared" si="9"/>
        <v>50892498.873210274</v>
      </c>
      <c r="C101" s="119">
        <f t="shared" si="19"/>
        <v>943010.30046046013</v>
      </c>
      <c r="D101" s="81">
        <f t="shared" si="14"/>
        <v>296872.91009372659</v>
      </c>
      <c r="E101" s="81">
        <f t="shared" si="7"/>
        <v>646137.39036673354</v>
      </c>
      <c r="F101" s="117">
        <f t="shared" si="13"/>
        <v>6.0000000000000039E-2</v>
      </c>
      <c r="G101" s="118">
        <f t="shared" si="8"/>
        <v>5.1430128318229462E-3</v>
      </c>
      <c r="H101" s="119">
        <f t="shared" si="15"/>
        <v>258417.68185867858</v>
      </c>
      <c r="I101" s="120">
        <f t="shared" si="16"/>
        <v>49987943.800984859</v>
      </c>
      <c r="J101" s="121">
        <f t="shared" si="11"/>
        <v>62661570.556744397</v>
      </c>
      <c r="K101" s="119">
        <f t="shared" si="17"/>
        <v>1161084.7921862407</v>
      </c>
      <c r="L101" s="81">
        <f t="shared" si="4"/>
        <v>365525.82824767567</v>
      </c>
      <c r="M101" s="122">
        <f t="shared" si="12"/>
        <v>795558.96393856499</v>
      </c>
      <c r="N101" s="139">
        <f t="shared" si="18"/>
        <v>4.666666666666667</v>
      </c>
      <c r="O101" s="231"/>
      <c r="P101" s="231"/>
      <c r="Q101" s="231"/>
      <c r="R101" s="234"/>
    </row>
    <row r="102" spans="1:18" x14ac:dyDescent="0.2">
      <c r="A102" s="180">
        <v>57</v>
      </c>
      <c r="B102" s="81">
        <f t="shared" si="9"/>
        <v>49987943.800984859</v>
      </c>
      <c r="C102" s="119">
        <f t="shared" si="19"/>
        <v>938160.3863846506</v>
      </c>
      <c r="D102" s="81">
        <f t="shared" si="14"/>
        <v>291596.33883907838</v>
      </c>
      <c r="E102" s="81">
        <f t="shared" si="7"/>
        <v>646564.04754557228</v>
      </c>
      <c r="F102" s="117">
        <f t="shared" si="13"/>
        <v>6.0000000000000039E-2</v>
      </c>
      <c r="G102" s="118">
        <f t="shared" si="8"/>
        <v>5.1430128318229462E-3</v>
      </c>
      <c r="H102" s="119">
        <f t="shared" si="15"/>
        <v>253763.34921178716</v>
      </c>
      <c r="I102" s="120">
        <f t="shared" si="16"/>
        <v>49087616.404227495</v>
      </c>
      <c r="J102" s="121">
        <f t="shared" si="11"/>
        <v>61866011.592805833</v>
      </c>
      <c r="K102" s="119">
        <f t="shared" si="17"/>
        <v>1161084.7921862407</v>
      </c>
      <c r="L102" s="81">
        <f t="shared" si="4"/>
        <v>360885.06762470072</v>
      </c>
      <c r="M102" s="122">
        <f t="shared" si="12"/>
        <v>800199.72456153994</v>
      </c>
      <c r="N102" s="139">
        <f t="shared" si="18"/>
        <v>4.75</v>
      </c>
      <c r="O102" s="231"/>
      <c r="P102" s="231"/>
      <c r="Q102" s="231"/>
      <c r="R102" s="234"/>
    </row>
    <row r="103" spans="1:18" x14ac:dyDescent="0.2">
      <c r="A103" s="180">
        <v>58</v>
      </c>
      <c r="B103" s="81">
        <f t="shared" si="9"/>
        <v>49087616.404227495</v>
      </c>
      <c r="C103" s="119">
        <f t="shared" si="19"/>
        <v>933335.41547916608</v>
      </c>
      <c r="D103" s="81">
        <f t="shared" si="14"/>
        <v>286344.42902466038</v>
      </c>
      <c r="E103" s="81">
        <f t="shared" si="7"/>
        <v>646990.98645450571</v>
      </c>
      <c r="F103" s="117">
        <f t="shared" si="13"/>
        <v>6.0000000000000039E-2</v>
      </c>
      <c r="G103" s="118">
        <f t="shared" si="8"/>
        <v>5.1430128318229462E-3</v>
      </c>
      <c r="H103" s="119">
        <f t="shared" si="15"/>
        <v>249130.75810513523</v>
      </c>
      <c r="I103" s="120">
        <f t="shared" si="16"/>
        <v>48191494.65966785</v>
      </c>
      <c r="J103" s="121">
        <f t="shared" si="11"/>
        <v>61065811.86824429</v>
      </c>
      <c r="K103" s="119">
        <f t="shared" si="17"/>
        <v>1161084.7921862407</v>
      </c>
      <c r="L103" s="81">
        <f t="shared" si="4"/>
        <v>356217.23589809169</v>
      </c>
      <c r="M103" s="122">
        <f t="shared" si="12"/>
        <v>804867.55628814897</v>
      </c>
      <c r="N103" s="139">
        <f t="shared" si="18"/>
        <v>4.833333333333333</v>
      </c>
      <c r="O103" s="231"/>
      <c r="P103" s="231"/>
      <c r="Q103" s="231"/>
      <c r="R103" s="234"/>
    </row>
    <row r="104" spans="1:18" x14ac:dyDescent="0.2">
      <c r="A104" s="180">
        <v>59</v>
      </c>
      <c r="B104" s="81">
        <f t="shared" si="9"/>
        <v>48191494.65966785</v>
      </c>
      <c r="C104" s="119">
        <f t="shared" si="19"/>
        <v>928535.25946096203</v>
      </c>
      <c r="D104" s="81">
        <f t="shared" si="14"/>
        <v>281117.05218139582</v>
      </c>
      <c r="E104" s="81">
        <f t="shared" si="7"/>
        <v>647418.20727956621</v>
      </c>
      <c r="F104" s="117">
        <f t="shared" si="13"/>
        <v>6.0000000000000039E-2</v>
      </c>
      <c r="G104" s="118">
        <f t="shared" si="8"/>
        <v>5.1430128318229462E-3</v>
      </c>
      <c r="H104" s="119">
        <f t="shared" si="15"/>
        <v>244519.79527180415</v>
      </c>
      <c r="I104" s="120">
        <f t="shared" si="16"/>
        <v>47299556.65711648</v>
      </c>
      <c r="J104" s="121">
        <f t="shared" si="11"/>
        <v>60260944.311956145</v>
      </c>
      <c r="K104" s="119">
        <f t="shared" si="17"/>
        <v>1161084.7921862407</v>
      </c>
      <c r="L104" s="81">
        <f t="shared" si="4"/>
        <v>351522.17515307752</v>
      </c>
      <c r="M104" s="122">
        <f t="shared" si="12"/>
        <v>809562.61703316309</v>
      </c>
      <c r="N104" s="139">
        <f t="shared" si="18"/>
        <v>4.916666666666667</v>
      </c>
      <c r="O104" s="231"/>
      <c r="P104" s="231"/>
      <c r="Q104" s="231"/>
      <c r="R104" s="234"/>
    </row>
    <row r="105" spans="1:18" s="179" customFormat="1" ht="13.5" thickBot="1" x14ac:dyDescent="0.25">
      <c r="A105" s="181">
        <v>60</v>
      </c>
      <c r="B105" s="147">
        <f t="shared" si="9"/>
        <v>47299556.65711648</v>
      </c>
      <c r="C105" s="119">
        <f t="shared" si="19"/>
        <v>923759.7907067542</v>
      </c>
      <c r="D105" s="81">
        <f t="shared" si="14"/>
        <v>275914.08049984614</v>
      </c>
      <c r="E105" s="81">
        <f t="shared" si="7"/>
        <v>647845.71020690806</v>
      </c>
      <c r="F105" s="149">
        <f t="shared" si="13"/>
        <v>6.0000000000000039E-2</v>
      </c>
      <c r="G105" s="150">
        <f t="shared" si="8"/>
        <v>5.1430128318229462E-3</v>
      </c>
      <c r="H105" s="148">
        <f t="shared" si="15"/>
        <v>239930.34802645093</v>
      </c>
      <c r="I105" s="151">
        <f t="shared" si="16"/>
        <v>46411780.598883115</v>
      </c>
      <c r="J105" s="176">
        <f t="shared" si="11"/>
        <v>59451381.694922984</v>
      </c>
      <c r="K105" s="148">
        <f t="shared" si="17"/>
        <v>1161084.7921862407</v>
      </c>
      <c r="L105" s="147">
        <f t="shared" si="4"/>
        <v>346799.7265537174</v>
      </c>
      <c r="M105" s="177">
        <f t="shared" si="12"/>
        <v>814285.06563252327</v>
      </c>
      <c r="N105" s="178">
        <f t="shared" si="18"/>
        <v>5</v>
      </c>
      <c r="O105" s="232"/>
      <c r="P105" s="232"/>
      <c r="Q105" s="232"/>
      <c r="R105" s="235"/>
    </row>
    <row r="106" spans="1:18" s="179" customFormat="1" x14ac:dyDescent="0.2">
      <c r="A106" s="181">
        <v>61</v>
      </c>
      <c r="B106" s="147">
        <f t="shared" si="9"/>
        <v>46411780.598883115</v>
      </c>
      <c r="C106" s="119">
        <f t="shared" si="19"/>
        <v>919008.88224962726</v>
      </c>
      <c r="D106" s="81">
        <f t="shared" si="14"/>
        <v>270735.38682681817</v>
      </c>
      <c r="E106" s="81">
        <f t="shared" si="7"/>
        <v>648273.49542280915</v>
      </c>
      <c r="F106" s="149">
        <f>+F105</f>
        <v>6.0000000000000039E-2</v>
      </c>
      <c r="G106" s="150">
        <f t="shared" si="8"/>
        <v>5.1430128318229462E-3</v>
      </c>
      <c r="H106" s="148">
        <f t="shared" si="15"/>
        <v>235362.3042623169</v>
      </c>
      <c r="I106" s="151">
        <f t="shared" si="16"/>
        <v>45528144.799197987</v>
      </c>
      <c r="J106" s="176">
        <f t="shared" si="11"/>
        <v>58637096.629290462</v>
      </c>
      <c r="K106" s="148">
        <f t="shared" si="17"/>
        <v>1161084.7921862407</v>
      </c>
      <c r="L106" s="147">
        <f t="shared" si="4"/>
        <v>342049.7303375277</v>
      </c>
      <c r="M106" s="177">
        <f t="shared" si="12"/>
        <v>819035.06184871297</v>
      </c>
      <c r="N106" s="138">
        <f t="shared" si="18"/>
        <v>5.083333333333333</v>
      </c>
      <c r="O106" s="230">
        <f>+SUM(D106:D117)</f>
        <v>2913849.033461479</v>
      </c>
      <c r="P106" s="230">
        <f>+SUM(E106:E117)+SUM(H106:H117)</f>
        <v>10336464.343991024</v>
      </c>
      <c r="Q106" s="230">
        <f>+SUM(L106:L117)</f>
        <v>3783055.647068812</v>
      </c>
      <c r="R106" s="233">
        <f>+SUM(M106:M117)</f>
        <v>10149961.859166075</v>
      </c>
    </row>
    <row r="107" spans="1:18" x14ac:dyDescent="0.2">
      <c r="A107" s="181">
        <v>62</v>
      </c>
      <c r="B107" s="147">
        <f t="shared" si="9"/>
        <v>45528144.799197987</v>
      </c>
      <c r="C107" s="119">
        <f t="shared" si="19"/>
        <v>914282.40777565807</v>
      </c>
      <c r="D107" s="81">
        <f t="shared" si="14"/>
        <v>265580.84466198826</v>
      </c>
      <c r="E107" s="81">
        <f t="shared" si="7"/>
        <v>648701.56311366986</v>
      </c>
      <c r="F107" s="149">
        <f t="shared" ref="F107:F165" si="20">+F106</f>
        <v>6.0000000000000039E-2</v>
      </c>
      <c r="G107" s="150">
        <f t="shared" si="8"/>
        <v>5.1430128318229462E-3</v>
      </c>
      <c r="H107" s="148">
        <f t="shared" si="15"/>
        <v>230815.5524482512</v>
      </c>
      <c r="I107" s="151">
        <f t="shared" si="16"/>
        <v>44648627.683636069</v>
      </c>
      <c r="J107" s="121">
        <f t="shared" si="11"/>
        <v>57818061.567441747</v>
      </c>
      <c r="K107" s="119">
        <f t="shared" si="17"/>
        <v>1161084.7921862407</v>
      </c>
      <c r="L107" s="81">
        <f t="shared" si="4"/>
        <v>337272.02581007686</v>
      </c>
      <c r="M107" s="122">
        <f t="shared" si="12"/>
        <v>823812.76637616381</v>
      </c>
      <c r="N107" s="139">
        <f t="shared" si="18"/>
        <v>5.166666666666667</v>
      </c>
      <c r="O107" s="231"/>
      <c r="P107" s="231"/>
      <c r="Q107" s="231"/>
      <c r="R107" s="234"/>
    </row>
    <row r="108" spans="1:18" x14ac:dyDescent="0.2">
      <c r="A108" s="181">
        <v>63</v>
      </c>
      <c r="B108" s="147">
        <f t="shared" si="9"/>
        <v>44648627.683636069</v>
      </c>
      <c r="C108" s="119">
        <f t="shared" si="19"/>
        <v>909580.24162055785</v>
      </c>
      <c r="D108" s="81">
        <f t="shared" si="14"/>
        <v>260450.32815454376</v>
      </c>
      <c r="E108" s="81">
        <f t="shared" si="7"/>
        <v>649129.91346601408</v>
      </c>
      <c r="F108" s="149">
        <f t="shared" si="20"/>
        <v>6.0000000000000039E-2</v>
      </c>
      <c r="G108" s="150">
        <f t="shared" si="8"/>
        <v>5.1430128318229462E-3</v>
      </c>
      <c r="H108" s="148">
        <f t="shared" si="15"/>
        <v>226289.9816257497</v>
      </c>
      <c r="I108" s="151">
        <f t="shared" si="16"/>
        <v>43773207.788544305</v>
      </c>
      <c r="J108" s="121">
        <f t="shared" si="11"/>
        <v>56994248.801065579</v>
      </c>
      <c r="K108" s="119">
        <f t="shared" si="17"/>
        <v>1161084.7921862407</v>
      </c>
      <c r="L108" s="81">
        <f t="shared" si="4"/>
        <v>332466.45133954921</v>
      </c>
      <c r="M108" s="122">
        <f t="shared" si="12"/>
        <v>828618.34084669151</v>
      </c>
      <c r="N108" s="139">
        <f t="shared" si="18"/>
        <v>5.25</v>
      </c>
      <c r="O108" s="231"/>
      <c r="P108" s="231"/>
      <c r="Q108" s="231"/>
      <c r="R108" s="234"/>
    </row>
    <row r="109" spans="1:18" x14ac:dyDescent="0.2">
      <c r="A109" s="181">
        <v>64</v>
      </c>
      <c r="B109" s="147">
        <f t="shared" si="9"/>
        <v>43773207.788544305</v>
      </c>
      <c r="C109" s="119">
        <f t="shared" si="19"/>
        <v>904902.2587663309</v>
      </c>
      <c r="D109" s="81">
        <f t="shared" si="14"/>
        <v>255343.7120998418</v>
      </c>
      <c r="E109" s="81">
        <f t="shared" si="7"/>
        <v>649558.5466664891</v>
      </c>
      <c r="F109" s="149">
        <f t="shared" si="20"/>
        <v>6.0000000000000039E-2</v>
      </c>
      <c r="G109" s="150">
        <f t="shared" si="8"/>
        <v>5.1430128318229462E-3</v>
      </c>
      <c r="H109" s="148">
        <f t="shared" si="15"/>
        <v>221785.48140600946</v>
      </c>
      <c r="I109" s="151">
        <f t="shared" si="16"/>
        <v>42901863.760471806</v>
      </c>
      <c r="J109" s="121">
        <f t="shared" si="11"/>
        <v>56165630.460218884</v>
      </c>
      <c r="K109" s="119">
        <f t="shared" si="17"/>
        <v>1161084.7921862407</v>
      </c>
      <c r="L109" s="81">
        <f t="shared" si="4"/>
        <v>327632.84435127681</v>
      </c>
      <c r="M109" s="122">
        <f t="shared" si="12"/>
        <v>833451.94783496391</v>
      </c>
      <c r="N109" s="139">
        <f t="shared" si="18"/>
        <v>5.333333333333333</v>
      </c>
      <c r="O109" s="231"/>
      <c r="P109" s="231"/>
      <c r="Q109" s="231"/>
      <c r="R109" s="234"/>
    </row>
    <row r="110" spans="1:18" x14ac:dyDescent="0.2">
      <c r="A110" s="181">
        <v>65</v>
      </c>
      <c r="B110" s="147">
        <f t="shared" si="9"/>
        <v>42901863.760471806</v>
      </c>
      <c r="C110" s="119">
        <f t="shared" si="19"/>
        <v>900248.33483794983</v>
      </c>
      <c r="D110" s="81">
        <f t="shared" ref="D110:D165" si="21">+B110*$C$39</f>
        <v>250260.87193608555</v>
      </c>
      <c r="E110" s="81">
        <f t="shared" si="7"/>
        <v>649987.46290186432</v>
      </c>
      <c r="F110" s="149">
        <f t="shared" si="20"/>
        <v>6.0000000000000039E-2</v>
      </c>
      <c r="G110" s="150">
        <f t="shared" si="8"/>
        <v>5.1430128318229462E-3</v>
      </c>
      <c r="H110" s="148">
        <f t="shared" ref="H110:H141" si="22">+(B110-E110)*G110</f>
        <v>217301.94196699798</v>
      </c>
      <c r="I110" s="151">
        <f t="shared" ref="I110:I141" si="23">+B110-H110-E110</f>
        <v>42034574.355602942</v>
      </c>
      <c r="J110" s="121">
        <f t="shared" si="11"/>
        <v>55332178.512383923</v>
      </c>
      <c r="K110" s="119">
        <f t="shared" ref="K110:K141" si="24">+-PMT($C$39,120,+$J$46)</f>
        <v>1161084.7921862407</v>
      </c>
      <c r="L110" s="81">
        <f t="shared" ref="L110:L165" si="25">+J110*$C$39</f>
        <v>322771.04132223956</v>
      </c>
      <c r="M110" s="122">
        <f t="shared" si="12"/>
        <v>838313.75086400111</v>
      </c>
      <c r="N110" s="139">
        <f t="shared" ref="N110:N141" si="26">+A110/12</f>
        <v>5.416666666666667</v>
      </c>
      <c r="O110" s="231"/>
      <c r="P110" s="231"/>
      <c r="Q110" s="231"/>
      <c r="R110" s="234"/>
    </row>
    <row r="111" spans="1:18" x14ac:dyDescent="0.2">
      <c r="A111" s="181">
        <v>66</v>
      </c>
      <c r="B111" s="147">
        <f t="shared" si="9"/>
        <v>42034574.355602942</v>
      </c>
      <c r="C111" s="119">
        <f t="shared" ref="C111:C165" si="27">+-PMT($C$39,120-A110,+B111)</f>
        <v>895618.34610005119</v>
      </c>
      <c r="D111" s="81">
        <f t="shared" si="21"/>
        <v>245201.68374101719</v>
      </c>
      <c r="E111" s="81">
        <f t="shared" ref="E111:E165" si="28">+C111-D111</f>
        <v>650416.66235903394</v>
      </c>
      <c r="F111" s="149">
        <f t="shared" si="20"/>
        <v>6.0000000000000039E-2</v>
      </c>
      <c r="G111" s="150">
        <f t="shared" ref="G111:G165" si="29">1-(1-F111)^(1/12)</f>
        <v>5.1430128318229462E-3</v>
      </c>
      <c r="H111" s="148">
        <f t="shared" si="22"/>
        <v>212839.25405053771</v>
      </c>
      <c r="I111" s="151">
        <f t="shared" si="23"/>
        <v>41171318.439193368</v>
      </c>
      <c r="J111" s="121">
        <f t="shared" si="11"/>
        <v>54493864.761519924</v>
      </c>
      <c r="K111" s="119">
        <f t="shared" si="24"/>
        <v>1161084.7921862407</v>
      </c>
      <c r="L111" s="81">
        <f t="shared" si="25"/>
        <v>317880.87777553289</v>
      </c>
      <c r="M111" s="122">
        <f t="shared" si="12"/>
        <v>843203.91441070777</v>
      </c>
      <c r="N111" s="139">
        <f t="shared" si="26"/>
        <v>5.5</v>
      </c>
      <c r="O111" s="231"/>
      <c r="P111" s="231"/>
      <c r="Q111" s="231"/>
      <c r="R111" s="234"/>
    </row>
    <row r="112" spans="1:18" x14ac:dyDescent="0.2">
      <c r="A112" s="181">
        <v>67</v>
      </c>
      <c r="B112" s="147">
        <f t="shared" ref="B112:B165" si="30">+I111</f>
        <v>41171318.439193368</v>
      </c>
      <c r="C112" s="119">
        <f t="shared" si="27"/>
        <v>891012.16945364256</v>
      </c>
      <c r="D112" s="81">
        <f t="shared" si="21"/>
        <v>240166.024228628</v>
      </c>
      <c r="E112" s="81">
        <f t="shared" si="28"/>
        <v>650846.14522501454</v>
      </c>
      <c r="F112" s="149">
        <f t="shared" si="20"/>
        <v>6.0000000000000039E-2</v>
      </c>
      <c r="G112" s="150">
        <f t="shared" si="29"/>
        <v>5.1430128318229462E-3</v>
      </c>
      <c r="H112" s="148">
        <f t="shared" si="22"/>
        <v>208397.3089594054</v>
      </c>
      <c r="I112" s="151">
        <f t="shared" si="23"/>
        <v>40312074.985008955</v>
      </c>
      <c r="J112" s="121">
        <f t="shared" ref="J112:J165" si="31">+J111-M111</f>
        <v>53650660.847109213</v>
      </c>
      <c r="K112" s="119">
        <f t="shared" si="24"/>
        <v>1161084.7921862407</v>
      </c>
      <c r="L112" s="81">
        <f t="shared" si="25"/>
        <v>312962.18827480375</v>
      </c>
      <c r="M112" s="122">
        <f t="shared" ref="M112:M165" si="32">+K112-L112</f>
        <v>848122.60391143686</v>
      </c>
      <c r="N112" s="139">
        <f t="shared" si="26"/>
        <v>5.583333333333333</v>
      </c>
      <c r="O112" s="231"/>
      <c r="P112" s="231"/>
      <c r="Q112" s="231"/>
      <c r="R112" s="234"/>
    </row>
    <row r="113" spans="1:18" x14ac:dyDescent="0.2">
      <c r="A113" s="181">
        <v>68</v>
      </c>
      <c r="B113" s="147">
        <f t="shared" si="30"/>
        <v>40312074.985008955</v>
      </c>
      <c r="C113" s="119">
        <f t="shared" si="27"/>
        <v>886429.6824328322</v>
      </c>
      <c r="D113" s="81">
        <f t="shared" si="21"/>
        <v>235153.77074588559</v>
      </c>
      <c r="E113" s="81">
        <f t="shared" si="28"/>
        <v>651275.91168694664</v>
      </c>
      <c r="F113" s="149">
        <f t="shared" si="20"/>
        <v>6.0000000000000039E-2</v>
      </c>
      <c r="G113" s="150">
        <f t="shared" si="29"/>
        <v>5.1430128318229462E-3</v>
      </c>
      <c r="H113" s="148">
        <f t="shared" si="22"/>
        <v>203975.99855444668</v>
      </c>
      <c r="I113" s="151">
        <f t="shared" si="23"/>
        <v>39456823.07476756</v>
      </c>
      <c r="J113" s="121">
        <f t="shared" si="31"/>
        <v>52802538.243197776</v>
      </c>
      <c r="K113" s="119">
        <f t="shared" si="24"/>
        <v>1161084.7921862407</v>
      </c>
      <c r="L113" s="81">
        <f t="shared" si="25"/>
        <v>308014.80641865369</v>
      </c>
      <c r="M113" s="122">
        <f t="shared" si="32"/>
        <v>853069.98576758697</v>
      </c>
      <c r="N113" s="139">
        <f t="shared" si="26"/>
        <v>5.666666666666667</v>
      </c>
      <c r="O113" s="231"/>
      <c r="P113" s="231"/>
      <c r="Q113" s="231"/>
      <c r="R113" s="234"/>
    </row>
    <row r="114" spans="1:18" x14ac:dyDescent="0.2">
      <c r="A114" s="181">
        <v>69</v>
      </c>
      <c r="B114" s="147">
        <f t="shared" si="30"/>
        <v>39456823.07476756</v>
      </c>
      <c r="C114" s="119">
        <f t="shared" si="27"/>
        <v>881870.76320157107</v>
      </c>
      <c r="D114" s="81">
        <f t="shared" si="21"/>
        <v>230164.80126947744</v>
      </c>
      <c r="E114" s="81">
        <f t="shared" si="28"/>
        <v>651705.9619320936</v>
      </c>
      <c r="F114" s="149">
        <f t="shared" si="20"/>
        <v>6.0000000000000039E-2</v>
      </c>
      <c r="G114" s="150">
        <f t="shared" si="29"/>
        <v>5.1430128318229462E-3</v>
      </c>
      <c r="H114" s="148">
        <f t="shared" si="22"/>
        <v>199575.215251705</v>
      </c>
      <c r="I114" s="151">
        <f t="shared" si="23"/>
        <v>38605541.89758376</v>
      </c>
      <c r="J114" s="121">
        <f t="shared" si="31"/>
        <v>51949468.257430188</v>
      </c>
      <c r="K114" s="119">
        <f t="shared" si="24"/>
        <v>1161084.7921862407</v>
      </c>
      <c r="L114" s="81">
        <f t="shared" si="25"/>
        <v>303038.56483500946</v>
      </c>
      <c r="M114" s="122">
        <f t="shared" si="32"/>
        <v>858046.22735123127</v>
      </c>
      <c r="N114" s="139">
        <f t="shared" si="26"/>
        <v>5.75</v>
      </c>
      <c r="O114" s="231"/>
      <c r="P114" s="231"/>
      <c r="Q114" s="231"/>
      <c r="R114" s="234"/>
    </row>
    <row r="115" spans="1:18" x14ac:dyDescent="0.2">
      <c r="A115" s="181">
        <v>70</v>
      </c>
      <c r="B115" s="147">
        <f t="shared" si="30"/>
        <v>38605541.89758376</v>
      </c>
      <c r="C115" s="119">
        <f t="shared" si="27"/>
        <v>877335.2905504161</v>
      </c>
      <c r="D115" s="81">
        <f t="shared" si="21"/>
        <v>225198.99440257196</v>
      </c>
      <c r="E115" s="81">
        <f t="shared" si="28"/>
        <v>652136.29614784417</v>
      </c>
      <c r="F115" s="149">
        <f t="shared" si="20"/>
        <v>6.0000000000000039E-2</v>
      </c>
      <c r="G115" s="150">
        <f t="shared" si="29"/>
        <v>5.1430128318229462E-3</v>
      </c>
      <c r="H115" s="148">
        <f t="shared" si="22"/>
        <v>195194.85201956579</v>
      </c>
      <c r="I115" s="151">
        <f t="shared" si="23"/>
        <v>37758210.749416351</v>
      </c>
      <c r="J115" s="121">
        <f t="shared" si="31"/>
        <v>51091422.030078955</v>
      </c>
      <c r="K115" s="119">
        <f t="shared" si="24"/>
        <v>1161084.7921862407</v>
      </c>
      <c r="L115" s="81">
        <f t="shared" si="25"/>
        <v>298033.29517546057</v>
      </c>
      <c r="M115" s="122">
        <f t="shared" si="32"/>
        <v>863051.49701078003</v>
      </c>
      <c r="N115" s="139">
        <f t="shared" si="26"/>
        <v>5.833333333333333</v>
      </c>
      <c r="O115" s="231"/>
      <c r="P115" s="231"/>
      <c r="Q115" s="231"/>
      <c r="R115" s="234"/>
    </row>
    <row r="116" spans="1:18" x14ac:dyDescent="0.2">
      <c r="A116" s="181">
        <v>71</v>
      </c>
      <c r="B116" s="147">
        <f t="shared" si="30"/>
        <v>37758210.749416351</v>
      </c>
      <c r="C116" s="119">
        <f t="shared" si="27"/>
        <v>872823.14389330428</v>
      </c>
      <c r="D116" s="81">
        <f t="shared" si="21"/>
        <v>220256.2293715954</v>
      </c>
      <c r="E116" s="81">
        <f t="shared" si="28"/>
        <v>652566.91452170885</v>
      </c>
      <c r="F116" s="149">
        <f t="shared" si="20"/>
        <v>6.0000000000000039E-2</v>
      </c>
      <c r="G116" s="150">
        <f t="shared" si="29"/>
        <v>5.1430128318229462E-3</v>
      </c>
      <c r="H116" s="148">
        <f t="shared" si="22"/>
        <v>190834.80237591514</v>
      </c>
      <c r="I116" s="151">
        <f t="shared" si="23"/>
        <v>36914809.03251873</v>
      </c>
      <c r="J116" s="121">
        <f t="shared" si="31"/>
        <v>50228370.533068173</v>
      </c>
      <c r="K116" s="119">
        <f t="shared" si="24"/>
        <v>1161084.7921862407</v>
      </c>
      <c r="L116" s="81">
        <f t="shared" si="25"/>
        <v>292998.82810956438</v>
      </c>
      <c r="M116" s="122">
        <f t="shared" si="32"/>
        <v>868085.96407667629</v>
      </c>
      <c r="N116" s="139">
        <f t="shared" si="26"/>
        <v>5.916666666666667</v>
      </c>
      <c r="O116" s="231"/>
      <c r="P116" s="231"/>
      <c r="Q116" s="231"/>
      <c r="R116" s="234"/>
    </row>
    <row r="117" spans="1:18" ht="13.5" thickBot="1" x14ac:dyDescent="0.25">
      <c r="A117" s="181">
        <v>72</v>
      </c>
      <c r="B117" s="147">
        <f t="shared" si="30"/>
        <v>36914809.03251873</v>
      </c>
      <c r="C117" s="119">
        <f t="shared" si="27"/>
        <v>868334.20326434902</v>
      </c>
      <c r="D117" s="81">
        <f t="shared" si="21"/>
        <v>215336.38602302593</v>
      </c>
      <c r="E117" s="81">
        <f t="shared" si="28"/>
        <v>652997.81724132306</v>
      </c>
      <c r="F117" s="149">
        <f t="shared" si="20"/>
        <v>6.0000000000000039E-2</v>
      </c>
      <c r="G117" s="150">
        <f t="shared" si="29"/>
        <v>5.1430128318229462E-3</v>
      </c>
      <c r="H117" s="148">
        <f t="shared" si="22"/>
        <v>186494.96038531291</v>
      </c>
      <c r="I117" s="151">
        <f t="shared" si="23"/>
        <v>36075316.254892088</v>
      </c>
      <c r="J117" s="121">
        <f t="shared" si="31"/>
        <v>49360284.568991497</v>
      </c>
      <c r="K117" s="119">
        <f t="shared" si="24"/>
        <v>1161084.7921862407</v>
      </c>
      <c r="L117" s="81">
        <f t="shared" si="25"/>
        <v>287934.99331911706</v>
      </c>
      <c r="M117" s="122">
        <f t="shared" si="32"/>
        <v>873149.79886712367</v>
      </c>
      <c r="N117" s="178">
        <f t="shared" si="26"/>
        <v>6</v>
      </c>
      <c r="O117" s="232"/>
      <c r="P117" s="232"/>
      <c r="Q117" s="232"/>
      <c r="R117" s="235"/>
    </row>
    <row r="118" spans="1:18" x14ac:dyDescent="0.2">
      <c r="A118" s="181">
        <v>73</v>
      </c>
      <c r="B118" s="147">
        <f t="shared" si="30"/>
        <v>36075316.254892088</v>
      </c>
      <c r="C118" s="119">
        <f t="shared" si="27"/>
        <v>863868.34931464947</v>
      </c>
      <c r="D118" s="81">
        <f t="shared" si="21"/>
        <v>210439.34482020387</v>
      </c>
      <c r="E118" s="81">
        <f t="shared" si="28"/>
        <v>653429.00449444563</v>
      </c>
      <c r="F118" s="149">
        <f t="shared" si="20"/>
        <v>6.0000000000000039E-2</v>
      </c>
      <c r="G118" s="150">
        <f t="shared" si="29"/>
        <v>5.1430128318229462E-3</v>
      </c>
      <c r="H118" s="148">
        <f t="shared" si="22"/>
        <v>182175.2206561807</v>
      </c>
      <c r="I118" s="151">
        <f t="shared" si="23"/>
        <v>35239712.029741466</v>
      </c>
      <c r="J118" s="121">
        <f t="shared" si="31"/>
        <v>48487134.770124376</v>
      </c>
      <c r="K118" s="119">
        <f t="shared" si="24"/>
        <v>1161084.7921862407</v>
      </c>
      <c r="L118" s="81">
        <f t="shared" si="25"/>
        <v>282841.61949239223</v>
      </c>
      <c r="M118" s="122">
        <f t="shared" si="32"/>
        <v>878243.17269384838</v>
      </c>
      <c r="N118" s="138">
        <f t="shared" si="26"/>
        <v>6.083333333333333</v>
      </c>
      <c r="O118" s="230">
        <f>+SUM(D118:D129)</f>
        <v>2208471.0031550569</v>
      </c>
      <c r="P118" s="230">
        <f>+SUM(E118:E129)+SUM(H118:H129)</f>
        <v>9776333.1640804317</v>
      </c>
      <c r="Q118" s="230">
        <f>+SUM(L118:L129)</f>
        <v>3049314.0835819878</v>
      </c>
      <c r="R118" s="233">
        <f>+SUM(M118:M129)</f>
        <v>10883703.422652898</v>
      </c>
    </row>
    <row r="119" spans="1:18" x14ac:dyDescent="0.2">
      <c r="A119" s="181">
        <v>74</v>
      </c>
      <c r="B119" s="147">
        <f t="shared" si="30"/>
        <v>35239712.029741466</v>
      </c>
      <c r="C119" s="119">
        <f t="shared" si="27"/>
        <v>859425.46330911864</v>
      </c>
      <c r="D119" s="81">
        <f t="shared" si="21"/>
        <v>205564.98684015856</v>
      </c>
      <c r="E119" s="81">
        <f t="shared" si="28"/>
        <v>653860.47646896006</v>
      </c>
      <c r="F119" s="149">
        <f t="shared" si="20"/>
        <v>6.0000000000000039E-2</v>
      </c>
      <c r="G119" s="150">
        <f t="shared" si="29"/>
        <v>5.1430128318229462E-3</v>
      </c>
      <c r="H119" s="148">
        <f t="shared" si="22"/>
        <v>177875.47833800409</v>
      </c>
      <c r="I119" s="151">
        <f t="shared" si="23"/>
        <v>34407976.074934505</v>
      </c>
      <c r="J119" s="121">
        <f t="shared" si="31"/>
        <v>47608891.597430527</v>
      </c>
      <c r="K119" s="119">
        <f t="shared" si="24"/>
        <v>1161084.7921862407</v>
      </c>
      <c r="L119" s="81">
        <f t="shared" si="25"/>
        <v>277718.53431834473</v>
      </c>
      <c r="M119" s="122">
        <f t="shared" si="32"/>
        <v>883366.257867896</v>
      </c>
      <c r="N119" s="139">
        <f t="shared" si="26"/>
        <v>6.166666666666667</v>
      </c>
      <c r="O119" s="231"/>
      <c r="P119" s="231"/>
      <c r="Q119" s="231"/>
      <c r="R119" s="234"/>
    </row>
    <row r="120" spans="1:18" x14ac:dyDescent="0.2">
      <c r="A120" s="181">
        <v>75</v>
      </c>
      <c r="B120" s="147">
        <f t="shared" si="30"/>
        <v>34407976.074934505</v>
      </c>
      <c r="C120" s="119">
        <f t="shared" si="27"/>
        <v>855005.42712332448</v>
      </c>
      <c r="D120" s="81">
        <f t="shared" si="21"/>
        <v>200713.1937704513</v>
      </c>
      <c r="E120" s="81">
        <f t="shared" si="28"/>
        <v>654292.23335287324</v>
      </c>
      <c r="F120" s="149">
        <f t="shared" si="20"/>
        <v>6.0000000000000039E-2</v>
      </c>
      <c r="G120" s="150">
        <f t="shared" si="29"/>
        <v>5.1430128318229462E-3</v>
      </c>
      <c r="H120" s="148">
        <f t="shared" si="22"/>
        <v>173595.6291185492</v>
      </c>
      <c r="I120" s="151">
        <f t="shared" si="23"/>
        <v>33580088.212463088</v>
      </c>
      <c r="J120" s="121">
        <f t="shared" si="31"/>
        <v>46725525.339562632</v>
      </c>
      <c r="K120" s="119">
        <f t="shared" si="24"/>
        <v>1161084.7921862407</v>
      </c>
      <c r="L120" s="81">
        <f t="shared" si="25"/>
        <v>272565.56448078202</v>
      </c>
      <c r="M120" s="122">
        <f t="shared" si="32"/>
        <v>888519.22770545864</v>
      </c>
      <c r="N120" s="139">
        <f t="shared" si="26"/>
        <v>6.25</v>
      </c>
      <c r="O120" s="231"/>
      <c r="P120" s="231"/>
      <c r="Q120" s="231"/>
      <c r="R120" s="234"/>
    </row>
    <row r="121" spans="1:18" x14ac:dyDescent="0.2">
      <c r="A121" s="181">
        <v>76</v>
      </c>
      <c r="B121" s="147">
        <f t="shared" si="30"/>
        <v>33580088.212463088</v>
      </c>
      <c r="C121" s="119">
        <f t="shared" si="27"/>
        <v>850608.12324035121</v>
      </c>
      <c r="D121" s="81">
        <f t="shared" si="21"/>
        <v>195883.8479060347</v>
      </c>
      <c r="E121" s="81">
        <f t="shared" si="28"/>
        <v>654724.27533431654</v>
      </c>
      <c r="F121" s="149">
        <f t="shared" si="20"/>
        <v>6.0000000000000039E-2</v>
      </c>
      <c r="G121" s="150">
        <f t="shared" si="29"/>
        <v>5.1430128318229462E-3</v>
      </c>
      <c r="H121" s="148">
        <f t="shared" si="22"/>
        <v>169335.56922109376</v>
      </c>
      <c r="I121" s="151">
        <f t="shared" si="23"/>
        <v>32756028.367907677</v>
      </c>
      <c r="J121" s="121">
        <f t="shared" si="31"/>
        <v>45837006.111857176</v>
      </c>
      <c r="K121" s="119">
        <f t="shared" si="24"/>
        <v>1161084.7921862407</v>
      </c>
      <c r="L121" s="81">
        <f t="shared" si="25"/>
        <v>267382.53565250023</v>
      </c>
      <c r="M121" s="122">
        <f t="shared" si="32"/>
        <v>893702.25653374044</v>
      </c>
      <c r="N121" s="139">
        <f t="shared" si="26"/>
        <v>6.333333333333333</v>
      </c>
      <c r="O121" s="231"/>
      <c r="P121" s="231"/>
      <c r="Q121" s="231"/>
      <c r="R121" s="234"/>
    </row>
    <row r="122" spans="1:18" x14ac:dyDescent="0.2">
      <c r="A122" s="181">
        <v>77</v>
      </c>
      <c r="B122" s="147">
        <f t="shared" si="30"/>
        <v>32756028.367907677</v>
      </c>
      <c r="C122" s="119">
        <f t="shared" si="27"/>
        <v>846233.43474767311</v>
      </c>
      <c r="D122" s="81">
        <f t="shared" si="21"/>
        <v>191076.83214612812</v>
      </c>
      <c r="E122" s="81">
        <f t="shared" si="28"/>
        <v>655156.60260154493</v>
      </c>
      <c r="F122" s="149">
        <f t="shared" si="20"/>
        <v>6.0000000000000039E-2</v>
      </c>
      <c r="G122" s="150">
        <f t="shared" si="29"/>
        <v>5.1430128318229462E-3</v>
      </c>
      <c r="H122" s="148">
        <f t="shared" si="22"/>
        <v>165095.19540167233</v>
      </c>
      <c r="I122" s="151">
        <f t="shared" si="23"/>
        <v>31935776.569904462</v>
      </c>
      <c r="J122" s="121">
        <f t="shared" si="31"/>
        <v>44943303.855323434</v>
      </c>
      <c r="K122" s="119">
        <f t="shared" si="24"/>
        <v>1161084.7921862407</v>
      </c>
      <c r="L122" s="81">
        <f t="shared" si="25"/>
        <v>262169.27248938673</v>
      </c>
      <c r="M122" s="122">
        <f t="shared" si="32"/>
        <v>898915.51969685394</v>
      </c>
      <c r="N122" s="139">
        <f t="shared" si="26"/>
        <v>6.416666666666667</v>
      </c>
      <c r="O122" s="231"/>
      <c r="P122" s="231"/>
      <c r="Q122" s="231"/>
      <c r="R122" s="234"/>
    </row>
    <row r="123" spans="1:18" x14ac:dyDescent="0.2">
      <c r="A123" s="181">
        <v>78</v>
      </c>
      <c r="B123" s="147">
        <f t="shared" si="30"/>
        <v>31935776.569904462</v>
      </c>
      <c r="C123" s="119">
        <f t="shared" si="27"/>
        <v>841881.24533404829</v>
      </c>
      <c r="D123" s="81">
        <f t="shared" si="21"/>
        <v>186292.02999110936</v>
      </c>
      <c r="E123" s="81">
        <f t="shared" si="28"/>
        <v>655589.2153429389</v>
      </c>
      <c r="F123" s="149">
        <f t="shared" si="20"/>
        <v>6.0000000000000039E-2</v>
      </c>
      <c r="G123" s="150">
        <f t="shared" si="29"/>
        <v>5.1430128318229462E-3</v>
      </c>
      <c r="H123" s="148">
        <f t="shared" si="22"/>
        <v>160874.40494633577</v>
      </c>
      <c r="I123" s="151">
        <f t="shared" si="23"/>
        <v>31119312.949615188</v>
      </c>
      <c r="J123" s="121">
        <f t="shared" si="31"/>
        <v>44044388.33562658</v>
      </c>
      <c r="K123" s="119">
        <f t="shared" si="24"/>
        <v>1161084.7921862407</v>
      </c>
      <c r="L123" s="81">
        <f t="shared" si="25"/>
        <v>256925.5986244884</v>
      </c>
      <c r="M123" s="122">
        <f t="shared" si="32"/>
        <v>904159.19356175233</v>
      </c>
      <c r="N123" s="139">
        <f t="shared" si="26"/>
        <v>6.5</v>
      </c>
      <c r="O123" s="231"/>
      <c r="P123" s="231"/>
      <c r="Q123" s="231"/>
      <c r="R123" s="234"/>
    </row>
    <row r="124" spans="1:18" x14ac:dyDescent="0.2">
      <c r="A124" s="181">
        <v>79</v>
      </c>
      <c r="B124" s="147">
        <f t="shared" si="30"/>
        <v>31119312.949615188</v>
      </c>
      <c r="C124" s="119">
        <f t="shared" si="27"/>
        <v>837551.43928642431</v>
      </c>
      <c r="D124" s="81">
        <f t="shared" si="21"/>
        <v>181529.32553942193</v>
      </c>
      <c r="E124" s="81">
        <f t="shared" si="28"/>
        <v>656022.11374700232</v>
      </c>
      <c r="F124" s="149">
        <f t="shared" si="20"/>
        <v>6.0000000000000039E-2</v>
      </c>
      <c r="G124" s="150">
        <f t="shared" si="29"/>
        <v>5.1430128318229462E-3</v>
      </c>
      <c r="H124" s="148">
        <f t="shared" si="22"/>
        <v>156673.09566842444</v>
      </c>
      <c r="I124" s="151">
        <f t="shared" si="23"/>
        <v>30306617.740199763</v>
      </c>
      <c r="J124" s="121">
        <f t="shared" si="31"/>
        <v>43140229.142064825</v>
      </c>
      <c r="K124" s="119">
        <f t="shared" si="24"/>
        <v>1161084.7921862407</v>
      </c>
      <c r="L124" s="81">
        <f t="shared" si="25"/>
        <v>251651.33666204484</v>
      </c>
      <c r="M124" s="122">
        <f t="shared" si="32"/>
        <v>909433.4555241958</v>
      </c>
      <c r="N124" s="139">
        <f t="shared" si="26"/>
        <v>6.583333333333333</v>
      </c>
      <c r="O124" s="231"/>
      <c r="P124" s="231"/>
      <c r="Q124" s="231"/>
      <c r="R124" s="234"/>
    </row>
    <row r="125" spans="1:18" x14ac:dyDescent="0.2">
      <c r="A125" s="181">
        <v>80</v>
      </c>
      <c r="B125" s="147">
        <f t="shared" si="30"/>
        <v>30306617.740199763</v>
      </c>
      <c r="C125" s="119">
        <f t="shared" si="27"/>
        <v>833243.90148686257</v>
      </c>
      <c r="D125" s="81">
        <f t="shared" si="21"/>
        <v>176788.60348449863</v>
      </c>
      <c r="E125" s="81">
        <f t="shared" si="28"/>
        <v>656455.29800236388</v>
      </c>
      <c r="F125" s="149">
        <f t="shared" si="20"/>
        <v>6.0000000000000039E-2</v>
      </c>
      <c r="G125" s="150">
        <f t="shared" si="29"/>
        <v>5.1430128318229462E-3</v>
      </c>
      <c r="H125" s="148">
        <f t="shared" si="22"/>
        <v>152491.16590585603</v>
      </c>
      <c r="I125" s="151">
        <f t="shared" si="23"/>
        <v>29497671.276291545</v>
      </c>
      <c r="J125" s="121">
        <f t="shared" si="31"/>
        <v>42230795.686540626</v>
      </c>
      <c r="K125" s="119">
        <f t="shared" si="24"/>
        <v>1161084.7921862407</v>
      </c>
      <c r="L125" s="81">
        <f t="shared" si="25"/>
        <v>246346.30817148701</v>
      </c>
      <c r="M125" s="122">
        <f t="shared" si="32"/>
        <v>914738.48401475372</v>
      </c>
      <c r="N125" s="139">
        <f t="shared" si="26"/>
        <v>6.666666666666667</v>
      </c>
      <c r="O125" s="231"/>
      <c r="P125" s="231"/>
      <c r="Q125" s="231"/>
      <c r="R125" s="234"/>
    </row>
    <row r="126" spans="1:18" x14ac:dyDescent="0.2">
      <c r="A126" s="181">
        <v>81</v>
      </c>
      <c r="B126" s="147">
        <f t="shared" si="30"/>
        <v>29497671.276291545</v>
      </c>
      <c r="C126" s="119">
        <f t="shared" si="27"/>
        <v>828958.5174094775</v>
      </c>
      <c r="D126" s="81">
        <f t="shared" si="21"/>
        <v>172069.74911170069</v>
      </c>
      <c r="E126" s="81">
        <f t="shared" si="28"/>
        <v>656888.76829777681</v>
      </c>
      <c r="F126" s="149">
        <f t="shared" si="20"/>
        <v>6.0000000000000039E-2</v>
      </c>
      <c r="G126" s="150">
        <f t="shared" si="29"/>
        <v>5.1430128318229462E-3</v>
      </c>
      <c r="H126" s="148">
        <f t="shared" si="22"/>
        <v>148328.51451842673</v>
      </c>
      <c r="I126" s="151">
        <f t="shared" si="23"/>
        <v>28692453.99347534</v>
      </c>
      <c r="J126" s="121">
        <f t="shared" si="31"/>
        <v>41316057.202525869</v>
      </c>
      <c r="K126" s="119">
        <f t="shared" si="24"/>
        <v>1161084.7921862407</v>
      </c>
      <c r="L126" s="81">
        <f t="shared" si="25"/>
        <v>241010.33368140092</v>
      </c>
      <c r="M126" s="122">
        <f t="shared" si="32"/>
        <v>920074.4585048398</v>
      </c>
      <c r="N126" s="139">
        <f t="shared" si="26"/>
        <v>6.75</v>
      </c>
      <c r="O126" s="231"/>
      <c r="P126" s="231"/>
      <c r="Q126" s="231"/>
      <c r="R126" s="234"/>
    </row>
    <row r="127" spans="1:18" x14ac:dyDescent="0.2">
      <c r="A127" s="181">
        <v>82</v>
      </c>
      <c r="B127" s="147">
        <f t="shared" si="30"/>
        <v>28692453.99347534</v>
      </c>
      <c r="C127" s="119">
        <f t="shared" si="27"/>
        <v>824695.17311739153</v>
      </c>
      <c r="D127" s="81">
        <f t="shared" si="21"/>
        <v>167372.64829527284</v>
      </c>
      <c r="E127" s="81">
        <f t="shared" si="28"/>
        <v>657322.52482211869</v>
      </c>
      <c r="F127" s="149">
        <f t="shared" si="20"/>
        <v>6.0000000000000039E-2</v>
      </c>
      <c r="G127" s="150">
        <f t="shared" si="29"/>
        <v>5.1430128318229462E-3</v>
      </c>
      <c r="H127" s="148">
        <f t="shared" si="22"/>
        <v>144185.0408851268</v>
      </c>
      <c r="I127" s="151">
        <f t="shared" si="23"/>
        <v>27890946.427768093</v>
      </c>
      <c r="J127" s="121">
        <f t="shared" si="31"/>
        <v>40395982.744021028</v>
      </c>
      <c r="K127" s="119">
        <f t="shared" si="24"/>
        <v>1161084.7921862407</v>
      </c>
      <c r="L127" s="81">
        <f t="shared" si="25"/>
        <v>235643.23267345602</v>
      </c>
      <c r="M127" s="122">
        <f t="shared" si="32"/>
        <v>925441.5595127847</v>
      </c>
      <c r="N127" s="139">
        <f t="shared" si="26"/>
        <v>6.833333333333333</v>
      </c>
      <c r="O127" s="231"/>
      <c r="P127" s="231"/>
      <c r="Q127" s="231"/>
      <c r="R127" s="234"/>
    </row>
    <row r="128" spans="1:18" x14ac:dyDescent="0.2">
      <c r="A128" s="181">
        <v>83</v>
      </c>
      <c r="B128" s="147">
        <f t="shared" si="30"/>
        <v>27890946.427768093</v>
      </c>
      <c r="C128" s="119">
        <f t="shared" si="27"/>
        <v>820453.75525970617</v>
      </c>
      <c r="D128" s="81">
        <f t="shared" si="21"/>
        <v>162697.18749531388</v>
      </c>
      <c r="E128" s="81">
        <f t="shared" si="28"/>
        <v>657756.56776439236</v>
      </c>
      <c r="F128" s="149">
        <f t="shared" si="20"/>
        <v>6.0000000000000039E-2</v>
      </c>
      <c r="G128" s="150">
        <f t="shared" si="29"/>
        <v>5.1430128318229462E-3</v>
      </c>
      <c r="H128" s="148">
        <f t="shared" si="22"/>
        <v>140060.64490146955</v>
      </c>
      <c r="I128" s="151">
        <f t="shared" si="23"/>
        <v>27093129.215102229</v>
      </c>
      <c r="J128" s="121">
        <f t="shared" si="31"/>
        <v>39470541.184508242</v>
      </c>
      <c r="K128" s="119">
        <f t="shared" si="24"/>
        <v>1161084.7921862407</v>
      </c>
      <c r="L128" s="81">
        <f t="shared" si="25"/>
        <v>230244.82357629808</v>
      </c>
      <c r="M128" s="122">
        <f t="shared" si="32"/>
        <v>930839.96860994259</v>
      </c>
      <c r="N128" s="139">
        <f t="shared" si="26"/>
        <v>6.916666666666667</v>
      </c>
      <c r="O128" s="231"/>
      <c r="P128" s="231"/>
      <c r="Q128" s="231"/>
      <c r="R128" s="234"/>
    </row>
    <row r="129" spans="1:18" ht="13.5" thickBot="1" x14ac:dyDescent="0.25">
      <c r="A129" s="181">
        <v>84</v>
      </c>
      <c r="B129" s="147">
        <f t="shared" si="30"/>
        <v>27093129.215102229</v>
      </c>
      <c r="C129" s="119">
        <f t="shared" si="27"/>
        <v>816234.15106848825</v>
      </c>
      <c r="D129" s="81">
        <f t="shared" si="21"/>
        <v>158043.25375476302</v>
      </c>
      <c r="E129" s="81">
        <f t="shared" si="28"/>
        <v>658190.8973137252</v>
      </c>
      <c r="F129" s="149">
        <f t="shared" si="20"/>
        <v>6.0000000000000039E-2</v>
      </c>
      <c r="G129" s="150">
        <f t="shared" si="29"/>
        <v>5.1430128318229462E-3</v>
      </c>
      <c r="H129" s="148">
        <f t="shared" si="22"/>
        <v>135955.22697683435</v>
      </c>
      <c r="I129" s="151">
        <f t="shared" si="23"/>
        <v>26298983.09081167</v>
      </c>
      <c r="J129" s="121">
        <f t="shared" si="31"/>
        <v>38539701.215898298</v>
      </c>
      <c r="K129" s="119">
        <f t="shared" si="24"/>
        <v>1161084.7921862407</v>
      </c>
      <c r="L129" s="81">
        <f t="shared" si="25"/>
        <v>224814.92375940675</v>
      </c>
      <c r="M129" s="122">
        <f t="shared" si="32"/>
        <v>936269.86842683388</v>
      </c>
      <c r="N129" s="178">
        <f t="shared" si="26"/>
        <v>7</v>
      </c>
      <c r="O129" s="232"/>
      <c r="P129" s="232"/>
      <c r="Q129" s="232"/>
      <c r="R129" s="235"/>
    </row>
    <row r="130" spans="1:18" x14ac:dyDescent="0.2">
      <c r="A130" s="181">
        <v>85</v>
      </c>
      <c r="B130" s="147">
        <f t="shared" si="30"/>
        <v>26298983.09081167</v>
      </c>
      <c r="C130" s="119">
        <f t="shared" si="27"/>
        <v>812036.24835577072</v>
      </c>
      <c r="D130" s="81">
        <f t="shared" si="21"/>
        <v>153410.73469640143</v>
      </c>
      <c r="E130" s="81">
        <f t="shared" si="28"/>
        <v>658625.51365936932</v>
      </c>
      <c r="F130" s="149">
        <f t="shared" si="20"/>
        <v>6.0000000000000039E-2</v>
      </c>
      <c r="G130" s="150">
        <f t="shared" si="29"/>
        <v>5.1430128318229462E-3</v>
      </c>
      <c r="H130" s="148">
        <f t="shared" si="22"/>
        <v>131868.688031823</v>
      </c>
      <c r="I130" s="151">
        <f t="shared" si="23"/>
        <v>25508488.889120478</v>
      </c>
      <c r="J130" s="121">
        <f t="shared" si="31"/>
        <v>37603431.347471461</v>
      </c>
      <c r="K130" s="119">
        <f t="shared" si="24"/>
        <v>1161084.7921862407</v>
      </c>
      <c r="L130" s="81">
        <f t="shared" si="25"/>
        <v>219353.34952691686</v>
      </c>
      <c r="M130" s="122">
        <f t="shared" si="32"/>
        <v>941731.4426593238</v>
      </c>
      <c r="N130" s="138">
        <f t="shared" si="26"/>
        <v>7.083333333333333</v>
      </c>
      <c r="O130" s="230">
        <f>+SUM(D130:D141)</f>
        <v>1541196.385568457</v>
      </c>
      <c r="P130" s="230">
        <f>+SUM(E130:E141)+SUM(H130:H141)</f>
        <v>9250287.4662882388</v>
      </c>
      <c r="Q130" s="230">
        <f>+SUM(L130:L141)</f>
        <v>2262530.2831431199</v>
      </c>
      <c r="R130" s="233">
        <f>+SUM(M130:M141)</f>
        <v>11670487.223091766</v>
      </c>
    </row>
    <row r="131" spans="1:18" x14ac:dyDescent="0.2">
      <c r="A131" s="181">
        <v>86</v>
      </c>
      <c r="B131" s="147">
        <f t="shared" si="30"/>
        <v>25508488.889120478</v>
      </c>
      <c r="C131" s="119">
        <f t="shared" si="27"/>
        <v>807859.93551057181</v>
      </c>
      <c r="D131" s="81">
        <f t="shared" si="21"/>
        <v>148799.51851986945</v>
      </c>
      <c r="E131" s="81">
        <f t="shared" si="28"/>
        <v>659060.41699070239</v>
      </c>
      <c r="F131" s="149">
        <f t="shared" si="20"/>
        <v>6.0000000000000039E-2</v>
      </c>
      <c r="G131" s="150">
        <f t="shared" si="29"/>
        <v>5.1430128318229462E-3</v>
      </c>
      <c r="H131" s="148">
        <f t="shared" si="22"/>
        <v>127800.92949562991</v>
      </c>
      <c r="I131" s="151">
        <f t="shared" si="23"/>
        <v>24721627.542634148</v>
      </c>
      <c r="J131" s="121">
        <f t="shared" si="31"/>
        <v>36661699.904812135</v>
      </c>
      <c r="K131" s="119">
        <f t="shared" si="24"/>
        <v>1161084.7921862407</v>
      </c>
      <c r="L131" s="81">
        <f t="shared" si="25"/>
        <v>213859.91611140413</v>
      </c>
      <c r="M131" s="122">
        <f t="shared" si="32"/>
        <v>947224.87607483659</v>
      </c>
      <c r="N131" s="139">
        <f t="shared" si="26"/>
        <v>7.166666666666667</v>
      </c>
      <c r="O131" s="231"/>
      <c r="P131" s="231"/>
      <c r="Q131" s="231"/>
      <c r="R131" s="234"/>
    </row>
    <row r="132" spans="1:18" x14ac:dyDescent="0.2">
      <c r="A132" s="181">
        <v>87</v>
      </c>
      <c r="B132" s="147">
        <f t="shared" si="30"/>
        <v>24721627.542634148</v>
      </c>
      <c r="C132" s="119">
        <f t="shared" si="27"/>
        <v>803705.10149592522</v>
      </c>
      <c r="D132" s="81">
        <f t="shared" si="21"/>
        <v>144209.49399869921</v>
      </c>
      <c r="E132" s="81">
        <f t="shared" si="28"/>
        <v>659495.60749722598</v>
      </c>
      <c r="F132" s="149">
        <f t="shared" si="20"/>
        <v>6.0000000000000039E-2</v>
      </c>
      <c r="G132" s="150">
        <f t="shared" si="29"/>
        <v>5.1430128318229462E-3</v>
      </c>
      <c r="H132" s="148">
        <f t="shared" si="22"/>
        <v>123751.85330342589</v>
      </c>
      <c r="I132" s="151">
        <f t="shared" si="23"/>
        <v>23938380.081833497</v>
      </c>
      <c r="J132" s="121">
        <f t="shared" si="31"/>
        <v>35714475.028737299</v>
      </c>
      <c r="K132" s="119">
        <f t="shared" si="24"/>
        <v>1161084.7921862407</v>
      </c>
      <c r="L132" s="81">
        <f t="shared" si="25"/>
        <v>208334.43766763425</v>
      </c>
      <c r="M132" s="122">
        <f t="shared" si="32"/>
        <v>952750.35451860644</v>
      </c>
      <c r="N132" s="139">
        <f t="shared" si="26"/>
        <v>7.25</v>
      </c>
      <c r="O132" s="231"/>
      <c r="P132" s="231"/>
      <c r="Q132" s="231"/>
      <c r="R132" s="234"/>
    </row>
    <row r="133" spans="1:18" x14ac:dyDescent="0.2">
      <c r="A133" s="181">
        <v>88</v>
      </c>
      <c r="B133" s="147">
        <f t="shared" si="30"/>
        <v>23938380.081833497</v>
      </c>
      <c r="C133" s="119">
        <f t="shared" si="27"/>
        <v>799571.6358459302</v>
      </c>
      <c r="D133" s="81">
        <f t="shared" si="21"/>
        <v>139640.55047736206</v>
      </c>
      <c r="E133" s="81">
        <f t="shared" si="28"/>
        <v>659931.08536856808</v>
      </c>
      <c r="F133" s="149">
        <f t="shared" si="20"/>
        <v>6.0000000000000039E-2</v>
      </c>
      <c r="G133" s="150">
        <f t="shared" si="29"/>
        <v>5.1430128318229462E-3</v>
      </c>
      <c r="H133" s="148">
        <f t="shared" si="22"/>
        <v>119721.36189375512</v>
      </c>
      <c r="I133" s="151">
        <f t="shared" si="23"/>
        <v>23158727.634571172</v>
      </c>
      <c r="J133" s="121">
        <f t="shared" si="31"/>
        <v>34761724.674218692</v>
      </c>
      <c r="K133" s="119">
        <f t="shared" si="24"/>
        <v>1161084.7921862407</v>
      </c>
      <c r="L133" s="81">
        <f t="shared" si="25"/>
        <v>202776.7272662757</v>
      </c>
      <c r="M133" s="122">
        <f t="shared" si="32"/>
        <v>958308.06491996499</v>
      </c>
      <c r="N133" s="139">
        <f t="shared" si="26"/>
        <v>7.333333333333333</v>
      </c>
      <c r="O133" s="231"/>
      <c r="P133" s="231"/>
      <c r="Q133" s="231"/>
      <c r="R133" s="234"/>
    </row>
    <row r="134" spans="1:18" x14ac:dyDescent="0.2">
      <c r="A134" s="181">
        <v>89</v>
      </c>
      <c r="B134" s="147">
        <f t="shared" si="30"/>
        <v>23158727.634571172</v>
      </c>
      <c r="C134" s="119">
        <f t="shared" si="27"/>
        <v>795459.42866281292</v>
      </c>
      <c r="D134" s="81">
        <f t="shared" si="21"/>
        <v>135092.57786833183</v>
      </c>
      <c r="E134" s="81">
        <f t="shared" si="28"/>
        <v>660366.85079448111</v>
      </c>
      <c r="F134" s="149">
        <f t="shared" si="20"/>
        <v>6.0000000000000039E-2</v>
      </c>
      <c r="G134" s="150">
        <f t="shared" si="29"/>
        <v>5.1430128318229462E-3</v>
      </c>
      <c r="H134" s="148">
        <f t="shared" si="22"/>
        <v>115709.3582059457</v>
      </c>
      <c r="I134" s="151">
        <f t="shared" si="23"/>
        <v>22382651.425570749</v>
      </c>
      <c r="J134" s="121">
        <f t="shared" si="31"/>
        <v>33803416.609298728</v>
      </c>
      <c r="K134" s="119">
        <f t="shared" si="24"/>
        <v>1161084.7921862407</v>
      </c>
      <c r="L134" s="81">
        <f t="shared" si="25"/>
        <v>197186.59688757593</v>
      </c>
      <c r="M134" s="122">
        <f t="shared" si="32"/>
        <v>963898.19529866474</v>
      </c>
      <c r="N134" s="139">
        <f t="shared" si="26"/>
        <v>7.416666666666667</v>
      </c>
      <c r="O134" s="231"/>
      <c r="P134" s="231"/>
      <c r="Q134" s="231"/>
      <c r="R134" s="234"/>
    </row>
    <row r="135" spans="1:18" x14ac:dyDescent="0.2">
      <c r="A135" s="181">
        <v>90</v>
      </c>
      <c r="B135" s="147">
        <f t="shared" si="30"/>
        <v>22382651.425570749</v>
      </c>
      <c r="C135" s="119">
        <f t="shared" si="27"/>
        <v>791368.37061400583</v>
      </c>
      <c r="D135" s="81">
        <f t="shared" si="21"/>
        <v>130565.46664916271</v>
      </c>
      <c r="E135" s="81">
        <f t="shared" si="28"/>
        <v>660802.90396484314</v>
      </c>
      <c r="F135" s="149">
        <f t="shared" si="20"/>
        <v>6.0000000000000039E-2</v>
      </c>
      <c r="G135" s="150">
        <f t="shared" si="29"/>
        <v>5.1430128318229462E-3</v>
      </c>
      <c r="H135" s="148">
        <f t="shared" si="22"/>
        <v>111715.74567753346</v>
      </c>
      <c r="I135" s="151">
        <f t="shared" si="23"/>
        <v>21610132.775928371</v>
      </c>
      <c r="J135" s="121">
        <f t="shared" si="31"/>
        <v>32839518.414000064</v>
      </c>
      <c r="K135" s="119">
        <f t="shared" si="24"/>
        <v>1161084.7921862407</v>
      </c>
      <c r="L135" s="81">
        <f t="shared" si="25"/>
        <v>191563.85741500038</v>
      </c>
      <c r="M135" s="122">
        <f t="shared" si="32"/>
        <v>969520.93477124022</v>
      </c>
      <c r="N135" s="139">
        <f t="shared" si="26"/>
        <v>7.5</v>
      </c>
      <c r="O135" s="231"/>
      <c r="P135" s="231"/>
      <c r="Q135" s="231"/>
      <c r="R135" s="234"/>
    </row>
    <row r="136" spans="1:18" x14ac:dyDescent="0.2">
      <c r="A136" s="181">
        <v>91</v>
      </c>
      <c r="B136" s="147">
        <f t="shared" si="30"/>
        <v>21610132.775928371</v>
      </c>
      <c r="C136" s="119">
        <f t="shared" si="27"/>
        <v>787298.35292923893</v>
      </c>
      <c r="D136" s="81">
        <f t="shared" si="21"/>
        <v>126059.10785958217</v>
      </c>
      <c r="E136" s="81">
        <f t="shared" si="28"/>
        <v>661239.24506965675</v>
      </c>
      <c r="F136" s="149">
        <f t="shared" si="20"/>
        <v>6.0000000000000039E-2</v>
      </c>
      <c r="G136" s="150">
        <f t="shared" si="29"/>
        <v>5.1430128318229462E-3</v>
      </c>
      <c r="H136" s="148">
        <f t="shared" si="22"/>
        <v>107740.42824169908</v>
      </c>
      <c r="I136" s="151">
        <f t="shared" si="23"/>
        <v>20841153.102617014</v>
      </c>
      <c r="J136" s="121">
        <f t="shared" si="31"/>
        <v>31869997.479228824</v>
      </c>
      <c r="K136" s="119">
        <f t="shared" si="24"/>
        <v>1161084.7921862407</v>
      </c>
      <c r="L136" s="81">
        <f t="shared" si="25"/>
        <v>185908.31862883482</v>
      </c>
      <c r="M136" s="122">
        <f t="shared" si="32"/>
        <v>975176.47355740587</v>
      </c>
      <c r="N136" s="139">
        <f t="shared" si="26"/>
        <v>7.583333333333333</v>
      </c>
      <c r="O136" s="231"/>
      <c r="P136" s="231"/>
      <c r="Q136" s="231"/>
      <c r="R136" s="234"/>
    </row>
    <row r="137" spans="1:18" x14ac:dyDescent="0.2">
      <c r="A137" s="181">
        <v>92</v>
      </c>
      <c r="B137" s="147">
        <f t="shared" si="30"/>
        <v>20841153.102617014</v>
      </c>
      <c r="C137" s="119">
        <f t="shared" si="27"/>
        <v>783249.26739765087</v>
      </c>
      <c r="D137" s="81">
        <f t="shared" si="21"/>
        <v>121573.39309859925</v>
      </c>
      <c r="E137" s="81">
        <f t="shared" si="28"/>
        <v>661675.87429905159</v>
      </c>
      <c r="F137" s="149">
        <f t="shared" si="20"/>
        <v>6.0000000000000039E-2</v>
      </c>
      <c r="G137" s="150">
        <f t="shared" si="29"/>
        <v>5.1430128318229462E-3</v>
      </c>
      <c r="H137" s="148">
        <f t="shared" si="22"/>
        <v>103783.31032471822</v>
      </c>
      <c r="I137" s="151">
        <f t="shared" si="23"/>
        <v>20075693.917993244</v>
      </c>
      <c r="J137" s="121">
        <f t="shared" si="31"/>
        <v>30894821.005671419</v>
      </c>
      <c r="K137" s="119">
        <f t="shared" si="24"/>
        <v>1161084.7921862407</v>
      </c>
      <c r="L137" s="81">
        <f t="shared" si="25"/>
        <v>180219.78919974994</v>
      </c>
      <c r="M137" s="122">
        <f t="shared" si="32"/>
        <v>980865.00298649073</v>
      </c>
      <c r="N137" s="139">
        <f t="shared" si="26"/>
        <v>7.666666666666667</v>
      </c>
      <c r="O137" s="231"/>
      <c r="P137" s="231"/>
      <c r="Q137" s="231"/>
      <c r="R137" s="234"/>
    </row>
    <row r="138" spans="1:18" x14ac:dyDescent="0.2">
      <c r="A138" s="181">
        <v>93</v>
      </c>
      <c r="B138" s="147">
        <f t="shared" si="30"/>
        <v>20075693.917993244</v>
      </c>
      <c r="C138" s="119">
        <f t="shared" si="27"/>
        <v>779221.00636490865</v>
      </c>
      <c r="D138" s="81">
        <f t="shared" si="21"/>
        <v>117108.21452162726</v>
      </c>
      <c r="E138" s="81">
        <f t="shared" si="28"/>
        <v>662112.79184328136</v>
      </c>
      <c r="F138" s="149">
        <f t="shared" si="20"/>
        <v>6.0000000000000039E-2</v>
      </c>
      <c r="G138" s="150">
        <f t="shared" si="29"/>
        <v>5.1430128318229462E-3</v>
      </c>
      <c r="H138" s="148">
        <f t="shared" si="22"/>
        <v>99844.296843425022</v>
      </c>
      <c r="I138" s="151">
        <f t="shared" si="23"/>
        <v>19313736.829306539</v>
      </c>
      <c r="J138" s="121">
        <f t="shared" si="31"/>
        <v>29913956.002684928</v>
      </c>
      <c r="K138" s="119">
        <f t="shared" si="24"/>
        <v>1161084.7921862407</v>
      </c>
      <c r="L138" s="81">
        <f t="shared" si="25"/>
        <v>174498.07668232877</v>
      </c>
      <c r="M138" s="122">
        <f t="shared" si="32"/>
        <v>986586.71550391195</v>
      </c>
      <c r="N138" s="139">
        <f t="shared" si="26"/>
        <v>7.75</v>
      </c>
      <c r="O138" s="231"/>
      <c r="P138" s="231"/>
      <c r="Q138" s="231"/>
      <c r="R138" s="234"/>
    </row>
    <row r="139" spans="1:18" x14ac:dyDescent="0.2">
      <c r="A139" s="181">
        <v>94</v>
      </c>
      <c r="B139" s="147">
        <f t="shared" si="30"/>
        <v>19313736.829306539</v>
      </c>
      <c r="C139" s="119">
        <f t="shared" si="27"/>
        <v>775213.46273034823</v>
      </c>
      <c r="D139" s="81">
        <f t="shared" si="21"/>
        <v>112663.46483762149</v>
      </c>
      <c r="E139" s="81">
        <f t="shared" si="28"/>
        <v>662549.99789272668</v>
      </c>
      <c r="F139" s="149">
        <f t="shared" si="20"/>
        <v>6.0000000000000039E-2</v>
      </c>
      <c r="G139" s="150">
        <f t="shared" si="29"/>
        <v>5.1430128318229462E-3</v>
      </c>
      <c r="H139" s="148">
        <f t="shared" si="22"/>
        <v>95923.293202688394</v>
      </c>
      <c r="I139" s="151">
        <f t="shared" si="23"/>
        <v>18555263.538211126</v>
      </c>
      <c r="J139" s="121">
        <f t="shared" si="31"/>
        <v>28927369.287181016</v>
      </c>
      <c r="K139" s="119">
        <f t="shared" si="24"/>
        <v>1161084.7921862407</v>
      </c>
      <c r="L139" s="81">
        <f t="shared" si="25"/>
        <v>168742.98750855593</v>
      </c>
      <c r="M139" s="122">
        <f t="shared" si="32"/>
        <v>992341.80467768479</v>
      </c>
      <c r="N139" s="139">
        <f t="shared" si="26"/>
        <v>7.833333333333333</v>
      </c>
      <c r="O139" s="231"/>
      <c r="P139" s="231"/>
      <c r="Q139" s="231"/>
      <c r="R139" s="234"/>
    </row>
    <row r="140" spans="1:18" x14ac:dyDescent="0.2">
      <c r="A140" s="181">
        <v>95</v>
      </c>
      <c r="B140" s="147">
        <f t="shared" si="30"/>
        <v>18555263.538211126</v>
      </c>
      <c r="C140" s="119">
        <f t="shared" si="27"/>
        <v>771226.52994412405</v>
      </c>
      <c r="D140" s="81">
        <f t="shared" si="21"/>
        <v>108239.03730623158</v>
      </c>
      <c r="E140" s="81">
        <f t="shared" si="28"/>
        <v>662987.49263789249</v>
      </c>
      <c r="F140" s="149">
        <f t="shared" si="20"/>
        <v>6.0000000000000039E-2</v>
      </c>
      <c r="G140" s="150">
        <f t="shared" si="29"/>
        <v>5.1430128318229462E-3</v>
      </c>
      <c r="H140" s="148">
        <f t="shared" si="22"/>
        <v>92020.205292901461</v>
      </c>
      <c r="I140" s="151">
        <f t="shared" si="23"/>
        <v>17800255.840280332</v>
      </c>
      <c r="J140" s="121">
        <f t="shared" si="31"/>
        <v>27935027.482503332</v>
      </c>
      <c r="K140" s="119">
        <f t="shared" si="24"/>
        <v>1161084.7921862407</v>
      </c>
      <c r="L140" s="81">
        <f t="shared" si="25"/>
        <v>162954.32698126943</v>
      </c>
      <c r="M140" s="122">
        <f t="shared" si="32"/>
        <v>998130.46520497126</v>
      </c>
      <c r="N140" s="139">
        <f t="shared" si="26"/>
        <v>7.916666666666667</v>
      </c>
      <c r="O140" s="231"/>
      <c r="P140" s="231"/>
      <c r="Q140" s="231"/>
      <c r="R140" s="234"/>
    </row>
    <row r="141" spans="1:18" ht="13.5" thickBot="1" x14ac:dyDescent="0.25">
      <c r="A141" s="181">
        <v>96</v>
      </c>
      <c r="B141" s="147">
        <f t="shared" si="30"/>
        <v>17800255.840280332</v>
      </c>
      <c r="C141" s="119">
        <f t="shared" si="27"/>
        <v>767260.10200437903</v>
      </c>
      <c r="D141" s="81">
        <f t="shared" si="21"/>
        <v>103834.8257349686</v>
      </c>
      <c r="E141" s="81">
        <f t="shared" si="28"/>
        <v>663425.27626941039</v>
      </c>
      <c r="F141" s="149">
        <f t="shared" si="20"/>
        <v>6.0000000000000039E-2</v>
      </c>
      <c r="G141" s="150">
        <f t="shared" si="29"/>
        <v>5.1430128318229462E-3</v>
      </c>
      <c r="H141" s="148">
        <f t="shared" si="22"/>
        <v>88134.939487483833</v>
      </c>
      <c r="I141" s="151">
        <f t="shared" si="23"/>
        <v>17048695.624523439</v>
      </c>
      <c r="J141" s="121">
        <f t="shared" si="31"/>
        <v>26936897.017298359</v>
      </c>
      <c r="K141" s="119">
        <f t="shared" si="24"/>
        <v>1161084.7921862407</v>
      </c>
      <c r="L141" s="81">
        <f t="shared" si="25"/>
        <v>157131.89926757378</v>
      </c>
      <c r="M141" s="122">
        <f t="shared" si="32"/>
        <v>1003952.8929186668</v>
      </c>
      <c r="N141" s="178">
        <f t="shared" si="26"/>
        <v>8</v>
      </c>
      <c r="O141" s="232"/>
      <c r="P141" s="232"/>
      <c r="Q141" s="232"/>
      <c r="R141" s="235"/>
    </row>
    <row r="142" spans="1:18" x14ac:dyDescent="0.2">
      <c r="A142" s="181">
        <v>97</v>
      </c>
      <c r="B142" s="147">
        <f t="shared" si="30"/>
        <v>17048695.624523439</v>
      </c>
      <c r="C142" s="119">
        <f t="shared" si="27"/>
        <v>763314.07345442486</v>
      </c>
      <c r="D142" s="81">
        <f t="shared" si="21"/>
        <v>99450.724476386735</v>
      </c>
      <c r="E142" s="81">
        <f t="shared" si="28"/>
        <v>663863.34897803818</v>
      </c>
      <c r="F142" s="149">
        <f t="shared" si="20"/>
        <v>6.0000000000000039E-2</v>
      </c>
      <c r="G142" s="150">
        <f t="shared" si="29"/>
        <v>5.1430128318229462E-3</v>
      </c>
      <c r="H142" s="148">
        <f t="shared" ref="H142:H165" si="33">+(B142-E142)*G142</f>
        <v>84267.402640396758</v>
      </c>
      <c r="I142" s="151">
        <f t="shared" ref="I142:I165" si="34">+B142-H142-E142</f>
        <v>16300564.872905001</v>
      </c>
      <c r="J142" s="121">
        <f t="shared" si="31"/>
        <v>25932944.124379694</v>
      </c>
      <c r="K142" s="119">
        <f t="shared" ref="K142:K165" si="35">+-PMT($C$39,120,+$J$46)</f>
        <v>1161084.7921862407</v>
      </c>
      <c r="L142" s="81">
        <f t="shared" si="25"/>
        <v>151275.5073922149</v>
      </c>
      <c r="M142" s="122">
        <f t="shared" si="32"/>
        <v>1009809.2847940258</v>
      </c>
      <c r="N142" s="138">
        <f t="shared" ref="N142:N165" si="36">+A142/12</f>
        <v>8.0833333333333339</v>
      </c>
      <c r="O142" s="230">
        <f>+SUM(D142:D153)</f>
        <v>909705.42145837226</v>
      </c>
      <c r="P142" s="230">
        <f>+SUM(E142:E153)+SUM(H142:H153)</f>
        <v>8756285.919975454</v>
      </c>
      <c r="Q142" s="230">
        <f>+SUM(L142:L153)</f>
        <v>1418869.8181541509</v>
      </c>
      <c r="R142" s="233">
        <f>+SUM(M142:M153)</f>
        <v>12514147.688080737</v>
      </c>
    </row>
    <row r="143" spans="1:18" x14ac:dyDescent="0.2">
      <c r="A143" s="181">
        <v>98</v>
      </c>
      <c r="B143" s="147">
        <f t="shared" si="30"/>
        <v>16300564.872905001</v>
      </c>
      <c r="C143" s="119">
        <f t="shared" si="27"/>
        <v>759388.33937993774</v>
      </c>
      <c r="D143" s="81">
        <f t="shared" si="21"/>
        <v>95086.628425279181</v>
      </c>
      <c r="E143" s="81">
        <f t="shared" si="28"/>
        <v>664301.71095465857</v>
      </c>
      <c r="F143" s="149">
        <f t="shared" si="20"/>
        <v>6.0000000000000039E-2</v>
      </c>
      <c r="G143" s="150">
        <f t="shared" si="29"/>
        <v>5.1430128318229462E-3</v>
      </c>
      <c r="H143" s="148">
        <f t="shared" si="33"/>
        <v>80417.502083671046</v>
      </c>
      <c r="I143" s="151">
        <f t="shared" si="34"/>
        <v>15555845.659866672</v>
      </c>
      <c r="J143" s="121">
        <f t="shared" si="31"/>
        <v>24923134.839585669</v>
      </c>
      <c r="K143" s="119">
        <f t="shared" si="35"/>
        <v>1161084.7921862407</v>
      </c>
      <c r="L143" s="81">
        <f t="shared" si="25"/>
        <v>145384.95323091641</v>
      </c>
      <c r="M143" s="122">
        <f t="shared" si="32"/>
        <v>1015699.8389553243</v>
      </c>
      <c r="N143" s="139">
        <f t="shared" si="36"/>
        <v>8.1666666666666661</v>
      </c>
      <c r="O143" s="231"/>
      <c r="P143" s="231"/>
      <c r="Q143" s="231"/>
      <c r="R143" s="234"/>
    </row>
    <row r="144" spans="1:18" x14ac:dyDescent="0.2">
      <c r="A144" s="181">
        <v>99</v>
      </c>
      <c r="B144" s="147">
        <f t="shared" si="30"/>
        <v>15555845.659866672</v>
      </c>
      <c r="C144" s="119">
        <f t="shared" si="27"/>
        <v>755482.79540617007</v>
      </c>
      <c r="D144" s="81">
        <f t="shared" si="21"/>
        <v>90742.433015888921</v>
      </c>
      <c r="E144" s="81">
        <f t="shared" si="28"/>
        <v>664740.36239028117</v>
      </c>
      <c r="F144" s="149">
        <f t="shared" si="20"/>
        <v>6.0000000000000039E-2</v>
      </c>
      <c r="G144" s="150">
        <f t="shared" si="29"/>
        <v>5.1430128318229462E-3</v>
      </c>
      <c r="H144" s="148">
        <f t="shared" si="33"/>
        <v>76585.14562494772</v>
      </c>
      <c r="I144" s="151">
        <f t="shared" si="34"/>
        <v>14814520.151851444</v>
      </c>
      <c r="J144" s="121">
        <f t="shared" si="31"/>
        <v>23907435.000630345</v>
      </c>
      <c r="K144" s="119">
        <f t="shared" si="35"/>
        <v>1161084.7921862407</v>
      </c>
      <c r="L144" s="81">
        <f t="shared" si="25"/>
        <v>139460.03750367701</v>
      </c>
      <c r="M144" s="122">
        <f t="shared" si="32"/>
        <v>1021624.7546825637</v>
      </c>
      <c r="N144" s="139">
        <f t="shared" si="36"/>
        <v>8.25</v>
      </c>
      <c r="O144" s="231"/>
      <c r="P144" s="231"/>
      <c r="Q144" s="231"/>
      <c r="R144" s="234"/>
    </row>
    <row r="145" spans="1:18" x14ac:dyDescent="0.2">
      <c r="A145" s="181">
        <v>100</v>
      </c>
      <c r="B145" s="147">
        <f t="shared" si="30"/>
        <v>14814520.151851444</v>
      </c>
      <c r="C145" s="119">
        <f t="shared" si="27"/>
        <v>751597.33769517462</v>
      </c>
      <c r="D145" s="81">
        <f t="shared" si="21"/>
        <v>86418.03421913342</v>
      </c>
      <c r="E145" s="81">
        <f t="shared" si="28"/>
        <v>665179.30347604118</v>
      </c>
      <c r="F145" s="149">
        <f t="shared" si="20"/>
        <v>6.0000000000000039E-2</v>
      </c>
      <c r="G145" s="150">
        <f t="shared" si="29"/>
        <v>5.1430128318229462E-3</v>
      </c>
      <c r="H145" s="148">
        <f t="shared" si="33"/>
        <v>72770.241545031269</v>
      </c>
      <c r="I145" s="151">
        <f t="shared" si="34"/>
        <v>14076570.606830372</v>
      </c>
      <c r="J145" s="121">
        <f t="shared" si="31"/>
        <v>22885810.245947782</v>
      </c>
      <c r="K145" s="119">
        <f t="shared" si="35"/>
        <v>1161084.7921862407</v>
      </c>
      <c r="L145" s="81">
        <f t="shared" si="25"/>
        <v>133500.55976802873</v>
      </c>
      <c r="M145" s="122">
        <f t="shared" si="32"/>
        <v>1027584.2324182119</v>
      </c>
      <c r="N145" s="139">
        <f t="shared" si="36"/>
        <v>8.3333333333333339</v>
      </c>
      <c r="O145" s="231"/>
      <c r="P145" s="231"/>
      <c r="Q145" s="231"/>
      <c r="R145" s="234"/>
    </row>
    <row r="146" spans="1:18" x14ac:dyDescent="0.2">
      <c r="A146" s="181">
        <v>101</v>
      </c>
      <c r="B146" s="147">
        <f t="shared" si="30"/>
        <v>14076570.606830372</v>
      </c>
      <c r="C146" s="119">
        <f t="shared" si="27"/>
        <v>747731.8629430444</v>
      </c>
      <c r="D146" s="81">
        <f t="shared" si="21"/>
        <v>82113.328539843831</v>
      </c>
      <c r="E146" s="81">
        <f t="shared" si="28"/>
        <v>665618.53440320061</v>
      </c>
      <c r="F146" s="149">
        <f t="shared" si="20"/>
        <v>6.0000000000000039E-2</v>
      </c>
      <c r="G146" s="150">
        <f t="shared" si="29"/>
        <v>5.1430128318229462E-3</v>
      </c>
      <c r="H146" s="148">
        <f t="shared" si="33"/>
        <v>68972.698595455469</v>
      </c>
      <c r="I146" s="151">
        <f t="shared" si="34"/>
        <v>13341979.373831715</v>
      </c>
      <c r="J146" s="121">
        <f t="shared" si="31"/>
        <v>21858226.013529569</v>
      </c>
      <c r="K146" s="119">
        <f t="shared" si="35"/>
        <v>1161084.7921862407</v>
      </c>
      <c r="L146" s="81">
        <f t="shared" si="25"/>
        <v>127506.31841225583</v>
      </c>
      <c r="M146" s="122">
        <f t="shared" si="32"/>
        <v>1033578.4737739848</v>
      </c>
      <c r="N146" s="139">
        <f t="shared" si="36"/>
        <v>8.4166666666666661</v>
      </c>
      <c r="O146" s="231"/>
      <c r="P146" s="231"/>
      <c r="Q146" s="231"/>
      <c r="R146" s="234"/>
    </row>
    <row r="147" spans="1:18" x14ac:dyDescent="0.2">
      <c r="A147" s="181">
        <v>102</v>
      </c>
      <c r="B147" s="147">
        <f t="shared" si="30"/>
        <v>13341979.373831715</v>
      </c>
      <c r="C147" s="119">
        <f t="shared" si="27"/>
        <v>743886.26837716543</v>
      </c>
      <c r="D147" s="81">
        <f t="shared" si="21"/>
        <v>77828.213014018344</v>
      </c>
      <c r="E147" s="81">
        <f t="shared" si="28"/>
        <v>666058.05536314705</v>
      </c>
      <c r="F147" s="149">
        <f t="shared" si="20"/>
        <v>6.0000000000000039E-2</v>
      </c>
      <c r="G147" s="150">
        <f t="shared" si="29"/>
        <v>5.1430128318229462E-3</v>
      </c>
      <c r="H147" s="148">
        <f t="shared" si="33"/>
        <v>65192.425996061887</v>
      </c>
      <c r="I147" s="151">
        <f t="shared" si="34"/>
        <v>12610728.892472507</v>
      </c>
      <c r="J147" s="121">
        <f t="shared" si="31"/>
        <v>20824647.539755583</v>
      </c>
      <c r="K147" s="119">
        <f t="shared" si="35"/>
        <v>1161084.7921862407</v>
      </c>
      <c r="L147" s="81">
        <f t="shared" si="25"/>
        <v>121477.11064857423</v>
      </c>
      <c r="M147" s="122">
        <f t="shared" si="32"/>
        <v>1039607.6815376665</v>
      </c>
      <c r="N147" s="139">
        <f t="shared" si="36"/>
        <v>8.5</v>
      </c>
      <c r="O147" s="231"/>
      <c r="P147" s="231"/>
      <c r="Q147" s="231"/>
      <c r="R147" s="234"/>
    </row>
    <row r="148" spans="1:18" x14ac:dyDescent="0.2">
      <c r="A148" s="181">
        <v>103</v>
      </c>
      <c r="B148" s="147">
        <f t="shared" si="30"/>
        <v>12610728.892472507</v>
      </c>
      <c r="C148" s="119">
        <f t="shared" si="27"/>
        <v>740060.45175348467</v>
      </c>
      <c r="D148" s="81">
        <f t="shared" si="21"/>
        <v>73562.585206089629</v>
      </c>
      <c r="E148" s="81">
        <f t="shared" si="28"/>
        <v>666497.86654739501</v>
      </c>
      <c r="F148" s="149">
        <f t="shared" si="20"/>
        <v>6.0000000000000039E-2</v>
      </c>
      <c r="G148" s="150">
        <f t="shared" si="29"/>
        <v>5.1430128318229462E-3</v>
      </c>
      <c r="H148" s="148">
        <f t="shared" si="33"/>
        <v>61429.333432590611</v>
      </c>
      <c r="I148" s="151">
        <f t="shared" si="34"/>
        <v>11882801.692492522</v>
      </c>
      <c r="J148" s="121">
        <f t="shared" si="31"/>
        <v>19785039.858217917</v>
      </c>
      <c r="K148" s="119">
        <f t="shared" si="35"/>
        <v>1161084.7921862407</v>
      </c>
      <c r="L148" s="81">
        <f t="shared" si="25"/>
        <v>115412.73250627119</v>
      </c>
      <c r="M148" s="122">
        <f t="shared" si="32"/>
        <v>1045672.0596799694</v>
      </c>
      <c r="N148" s="139">
        <f t="shared" si="36"/>
        <v>8.5833333333333339</v>
      </c>
      <c r="O148" s="231"/>
      <c r="P148" s="231"/>
      <c r="Q148" s="231"/>
      <c r="R148" s="234"/>
    </row>
    <row r="149" spans="1:18" x14ac:dyDescent="0.2">
      <c r="A149" s="181">
        <v>104</v>
      </c>
      <c r="B149" s="147">
        <f t="shared" si="30"/>
        <v>11882801.692492522</v>
      </c>
      <c r="C149" s="119">
        <f t="shared" si="27"/>
        <v>736254.31135379185</v>
      </c>
      <c r="D149" s="81">
        <f t="shared" si="21"/>
        <v>69316.34320620638</v>
      </c>
      <c r="E149" s="81">
        <f t="shared" si="28"/>
        <v>666937.96814758552</v>
      </c>
      <c r="F149" s="149">
        <f t="shared" si="20"/>
        <v>6.0000000000000039E-2</v>
      </c>
      <c r="G149" s="150">
        <f t="shared" si="29"/>
        <v>5.1430128318229462E-3</v>
      </c>
      <c r="H149" s="148">
        <f t="shared" si="33"/>
        <v>57683.33105428351</v>
      </c>
      <c r="I149" s="151">
        <f t="shared" si="34"/>
        <v>11158180.393290654</v>
      </c>
      <c r="J149" s="121">
        <f t="shared" si="31"/>
        <v>18739367.798537947</v>
      </c>
      <c r="K149" s="119">
        <f t="shared" si="35"/>
        <v>1161084.7921862407</v>
      </c>
      <c r="L149" s="81">
        <f t="shared" si="25"/>
        <v>109312.9788248047</v>
      </c>
      <c r="M149" s="122">
        <f t="shared" si="32"/>
        <v>1051771.8133614359</v>
      </c>
      <c r="N149" s="139">
        <f t="shared" si="36"/>
        <v>8.6666666666666661</v>
      </c>
      <c r="O149" s="231"/>
      <c r="P149" s="231"/>
      <c r="Q149" s="231"/>
      <c r="R149" s="234"/>
    </row>
    <row r="150" spans="1:18" x14ac:dyDescent="0.2">
      <c r="A150" s="181">
        <v>105</v>
      </c>
      <c r="B150" s="147">
        <f t="shared" si="30"/>
        <v>11158180.393290654</v>
      </c>
      <c r="C150" s="119">
        <f t="shared" si="27"/>
        <v>732467.74598301435</v>
      </c>
      <c r="D150" s="81">
        <f t="shared" si="21"/>
        <v>65089.38562752882</v>
      </c>
      <c r="E150" s="81">
        <f t="shared" si="28"/>
        <v>667378.36035548558</v>
      </c>
      <c r="F150" s="149">
        <f t="shared" si="20"/>
        <v>6.0000000000000039E-2</v>
      </c>
      <c r="G150" s="150">
        <f t="shared" si="29"/>
        <v>5.1430128318229462E-3</v>
      </c>
      <c r="H150" s="148">
        <f t="shared" si="33"/>
        <v>53954.329471499819</v>
      </c>
      <c r="I150" s="151">
        <f t="shared" si="34"/>
        <v>10436847.703463668</v>
      </c>
      <c r="J150" s="121">
        <f t="shared" si="31"/>
        <v>17687595.985176511</v>
      </c>
      <c r="K150" s="119">
        <f t="shared" si="35"/>
        <v>1161084.7921862407</v>
      </c>
      <c r="L150" s="81">
        <f t="shared" si="25"/>
        <v>103177.64324686298</v>
      </c>
      <c r="M150" s="122">
        <f t="shared" si="32"/>
        <v>1057907.1489393776</v>
      </c>
      <c r="N150" s="139">
        <f t="shared" si="36"/>
        <v>8.75</v>
      </c>
      <c r="O150" s="231"/>
      <c r="P150" s="231"/>
      <c r="Q150" s="231"/>
      <c r="R150" s="234"/>
    </row>
    <row r="151" spans="1:18" x14ac:dyDescent="0.2">
      <c r="A151" s="181">
        <v>106</v>
      </c>
      <c r="B151" s="147">
        <f t="shared" si="30"/>
        <v>10436847.703463668</v>
      </c>
      <c r="C151" s="119">
        <f t="shared" si="27"/>
        <v>728700.65496652736</v>
      </c>
      <c r="D151" s="81">
        <f t="shared" si="21"/>
        <v>60881.611603538069</v>
      </c>
      <c r="E151" s="81">
        <f t="shared" si="28"/>
        <v>667819.04336298932</v>
      </c>
      <c r="F151" s="149">
        <f t="shared" si="20"/>
        <v>6.0000000000000039E-2</v>
      </c>
      <c r="G151" s="150">
        <f t="shared" si="29"/>
        <v>5.1430128318229462E-3</v>
      </c>
      <c r="H151" s="148">
        <f t="shared" si="33"/>
        <v>50242.239753343907</v>
      </c>
      <c r="I151" s="151">
        <f t="shared" si="34"/>
        <v>9718786.4203473348</v>
      </c>
      <c r="J151" s="121">
        <f t="shared" si="31"/>
        <v>16629688.836237133</v>
      </c>
      <c r="K151" s="119">
        <f t="shared" si="35"/>
        <v>1161084.7921862407</v>
      </c>
      <c r="L151" s="81">
        <f t="shared" si="25"/>
        <v>97006.518211383271</v>
      </c>
      <c r="M151" s="122">
        <f t="shared" si="32"/>
        <v>1064078.2739748573</v>
      </c>
      <c r="N151" s="139">
        <f t="shared" si="36"/>
        <v>8.8333333333333339</v>
      </c>
      <c r="O151" s="231"/>
      <c r="P151" s="231"/>
      <c r="Q151" s="231"/>
      <c r="R151" s="234"/>
    </row>
    <row r="152" spans="1:18" x14ac:dyDescent="0.2">
      <c r="A152" s="181">
        <v>107</v>
      </c>
      <c r="B152" s="147">
        <f t="shared" si="30"/>
        <v>9718786.4203473348</v>
      </c>
      <c r="C152" s="119">
        <f t="shared" si="27"/>
        <v>724952.93814747676</v>
      </c>
      <c r="D152" s="81">
        <f t="shared" si="21"/>
        <v>56692.920785359456</v>
      </c>
      <c r="E152" s="81">
        <f t="shared" si="28"/>
        <v>668260.0173621173</v>
      </c>
      <c r="F152" s="149">
        <f t="shared" si="20"/>
        <v>6.0000000000000039E-2</v>
      </c>
      <c r="G152" s="150">
        <f t="shared" si="29"/>
        <v>5.1430128318229462E-3</v>
      </c>
      <c r="H152" s="148">
        <f t="shared" si="33"/>
        <v>46546.973425305347</v>
      </c>
      <c r="I152" s="151">
        <f t="shared" si="34"/>
        <v>9003979.4295599125</v>
      </c>
      <c r="J152" s="121">
        <f t="shared" si="31"/>
        <v>15565610.562262274</v>
      </c>
      <c r="K152" s="119">
        <f t="shared" si="35"/>
        <v>1161084.7921862407</v>
      </c>
      <c r="L152" s="81">
        <f t="shared" si="25"/>
        <v>90799.394946529937</v>
      </c>
      <c r="M152" s="122">
        <f t="shared" si="32"/>
        <v>1070285.3972397107</v>
      </c>
      <c r="N152" s="139">
        <f t="shared" si="36"/>
        <v>8.9166666666666661</v>
      </c>
      <c r="O152" s="231"/>
      <c r="P152" s="231"/>
      <c r="Q152" s="231"/>
      <c r="R152" s="234"/>
    </row>
    <row r="153" spans="1:18" ht="13.5" thickBot="1" x14ac:dyDescent="0.25">
      <c r="A153" s="181">
        <v>108</v>
      </c>
      <c r="B153" s="147">
        <f t="shared" si="30"/>
        <v>9003979.4295599125</v>
      </c>
      <c r="C153" s="119">
        <f t="shared" si="27"/>
        <v>721224.49588411651</v>
      </c>
      <c r="D153" s="81">
        <f t="shared" si="21"/>
        <v>52523.213339099493</v>
      </c>
      <c r="E153" s="81">
        <f t="shared" si="28"/>
        <v>668701.28254501696</v>
      </c>
      <c r="F153" s="149">
        <f t="shared" si="20"/>
        <v>6.0000000000000039E-2</v>
      </c>
      <c r="G153" s="150">
        <f t="shared" si="29"/>
        <v>5.1430128318229462E-3</v>
      </c>
      <c r="H153" s="148">
        <f t="shared" si="33"/>
        <v>42868.442466910994</v>
      </c>
      <c r="I153" s="151">
        <f t="shared" si="34"/>
        <v>8292409.7045479845</v>
      </c>
      <c r="J153" s="121">
        <f t="shared" si="31"/>
        <v>14495325.165022563</v>
      </c>
      <c r="K153" s="119">
        <f t="shared" si="35"/>
        <v>1161084.7921862407</v>
      </c>
      <c r="L153" s="81">
        <f t="shared" si="25"/>
        <v>84556.063462631617</v>
      </c>
      <c r="M153" s="122">
        <f t="shared" si="32"/>
        <v>1076528.7287236091</v>
      </c>
      <c r="N153" s="178">
        <f t="shared" si="36"/>
        <v>9</v>
      </c>
      <c r="O153" s="232"/>
      <c r="P153" s="232"/>
      <c r="Q153" s="232"/>
      <c r="R153" s="235"/>
    </row>
    <row r="154" spans="1:18" x14ac:dyDescent="0.2">
      <c r="A154" s="181">
        <v>109</v>
      </c>
      <c r="B154" s="147">
        <f t="shared" si="30"/>
        <v>8292409.7045479845</v>
      </c>
      <c r="C154" s="119">
        <f t="shared" si="27"/>
        <v>717515.22904715955</v>
      </c>
      <c r="D154" s="81">
        <f t="shared" si="21"/>
        <v>48372.389943196576</v>
      </c>
      <c r="E154" s="81">
        <f t="shared" si="28"/>
        <v>669142.83910396299</v>
      </c>
      <c r="F154" s="149">
        <f t="shared" si="20"/>
        <v>6.0000000000000039E-2</v>
      </c>
      <c r="G154" s="150">
        <f t="shared" si="29"/>
        <v>5.1430128318229462E-3</v>
      </c>
      <c r="H154" s="148">
        <f t="shared" si="33"/>
        <v>39206.559309389289</v>
      </c>
      <c r="I154" s="151">
        <f t="shared" si="34"/>
        <v>7584060.3061346319</v>
      </c>
      <c r="J154" s="121">
        <f t="shared" si="31"/>
        <v>13418796.436298953</v>
      </c>
      <c r="K154" s="119">
        <f t="shared" si="35"/>
        <v>1161084.7921862407</v>
      </c>
      <c r="L154" s="81">
        <f t="shared" si="25"/>
        <v>78276.312545077235</v>
      </c>
      <c r="M154" s="122">
        <f t="shared" si="32"/>
        <v>1082808.4796411635</v>
      </c>
      <c r="N154" s="138">
        <f t="shared" si="36"/>
        <v>9.0833333333333339</v>
      </c>
      <c r="O154" s="230">
        <f>+SUM(D154:D165)</f>
        <v>311817.27028818463</v>
      </c>
      <c r="P154" s="230">
        <f>+SUM(E154:E165)+SUM(H154:H165)</f>
        <v>8292409.7045479845</v>
      </c>
      <c r="Q154" s="230">
        <f>+SUM(L154:L165)</f>
        <v>514221.06993591931</v>
      </c>
      <c r="R154" s="233">
        <f>+SUM(M154:M165)</f>
        <v>13418796.436298968</v>
      </c>
    </row>
    <row r="155" spans="1:18" x14ac:dyDescent="0.2">
      <c r="A155" s="181">
        <v>110</v>
      </c>
      <c r="B155" s="147">
        <f t="shared" si="30"/>
        <v>7584060.3061346319</v>
      </c>
      <c r="C155" s="119">
        <f t="shared" si="27"/>
        <v>713825.03901714156</v>
      </c>
      <c r="D155" s="81">
        <f t="shared" si="21"/>
        <v>44240.351785785351</v>
      </c>
      <c r="E155" s="81">
        <f t="shared" si="28"/>
        <v>669584.68723135616</v>
      </c>
      <c r="F155" s="149">
        <f t="shared" si="20"/>
        <v>6.0000000000000039E-2</v>
      </c>
      <c r="G155" s="150">
        <f t="shared" si="29"/>
        <v>5.1430128318229462E-3</v>
      </c>
      <c r="H155" s="148">
        <f t="shared" si="33"/>
        <v>35561.236833346455</v>
      </c>
      <c r="I155" s="151">
        <f t="shared" si="34"/>
        <v>6878914.3820699295</v>
      </c>
      <c r="J155" s="121">
        <f t="shared" si="31"/>
        <v>12335987.95665779</v>
      </c>
      <c r="K155" s="119">
        <f t="shared" si="35"/>
        <v>1161084.7921862407</v>
      </c>
      <c r="L155" s="81">
        <f t="shared" si="25"/>
        <v>71959.929747170449</v>
      </c>
      <c r="M155" s="122">
        <f t="shared" si="32"/>
        <v>1089124.8624390701</v>
      </c>
      <c r="N155" s="139">
        <f t="shared" si="36"/>
        <v>9.1666666666666661</v>
      </c>
      <c r="O155" s="231"/>
      <c r="P155" s="231"/>
      <c r="Q155" s="231"/>
      <c r="R155" s="234"/>
    </row>
    <row r="156" spans="1:18" x14ac:dyDescent="0.2">
      <c r="A156" s="181">
        <v>111</v>
      </c>
      <c r="B156" s="147">
        <f t="shared" si="30"/>
        <v>6878914.3820699295</v>
      </c>
      <c r="C156" s="119">
        <f t="shared" si="27"/>
        <v>710153.82768179988</v>
      </c>
      <c r="D156" s="81">
        <f t="shared" si="21"/>
        <v>40127.000562074594</v>
      </c>
      <c r="E156" s="81">
        <f t="shared" si="28"/>
        <v>670026.82711972529</v>
      </c>
      <c r="F156" s="149">
        <f t="shared" si="20"/>
        <v>6.0000000000000039E-2</v>
      </c>
      <c r="G156" s="150">
        <f t="shared" si="29"/>
        <v>5.1430128318229462E-3</v>
      </c>
      <c r="H156" s="148">
        <f t="shared" si="33"/>
        <v>31932.388366454696</v>
      </c>
      <c r="I156" s="151">
        <f t="shared" si="34"/>
        <v>6176955.1665837504</v>
      </c>
      <c r="J156" s="121">
        <f t="shared" si="31"/>
        <v>11246863.09421872</v>
      </c>
      <c r="K156" s="119">
        <f t="shared" si="35"/>
        <v>1161084.7921862407</v>
      </c>
      <c r="L156" s="81">
        <f t="shared" si="25"/>
        <v>65606.701382942541</v>
      </c>
      <c r="M156" s="122">
        <f t="shared" si="32"/>
        <v>1095478.0908032982</v>
      </c>
      <c r="N156" s="139">
        <f t="shared" si="36"/>
        <v>9.25</v>
      </c>
      <c r="O156" s="231"/>
      <c r="P156" s="231"/>
      <c r="Q156" s="231"/>
      <c r="R156" s="234"/>
    </row>
    <row r="157" spans="1:18" x14ac:dyDescent="0.2">
      <c r="A157" s="181">
        <v>112</v>
      </c>
      <c r="B157" s="147">
        <f t="shared" si="30"/>
        <v>6176955.1665837504</v>
      </c>
      <c r="C157" s="119">
        <f t="shared" si="27"/>
        <v>706501.49743346428</v>
      </c>
      <c r="D157" s="81">
        <f t="shared" si="21"/>
        <v>36032.238471738543</v>
      </c>
      <c r="E157" s="81">
        <f t="shared" si="28"/>
        <v>670469.25896172575</v>
      </c>
      <c r="F157" s="149">
        <f t="shared" si="20"/>
        <v>6.0000000000000039E-2</v>
      </c>
      <c r="G157" s="150">
        <f t="shared" si="29"/>
        <v>5.1430128318229462E-3</v>
      </c>
      <c r="H157" s="148">
        <f t="shared" si="33"/>
        <v>28319.927681152294</v>
      </c>
      <c r="I157" s="151">
        <f t="shared" si="34"/>
        <v>5478165.9799408717</v>
      </c>
      <c r="J157" s="121">
        <f t="shared" si="31"/>
        <v>10151385.003415421</v>
      </c>
      <c r="K157" s="119">
        <f t="shared" si="35"/>
        <v>1161084.7921862407</v>
      </c>
      <c r="L157" s="81">
        <f t="shared" si="25"/>
        <v>59216.412519923288</v>
      </c>
      <c r="M157" s="122">
        <f t="shared" si="32"/>
        <v>1101868.3796663175</v>
      </c>
      <c r="N157" s="139">
        <f t="shared" si="36"/>
        <v>9.3333333333333339</v>
      </c>
      <c r="O157" s="231"/>
      <c r="P157" s="231"/>
      <c r="Q157" s="231"/>
      <c r="R157" s="234"/>
    </row>
    <row r="158" spans="1:18" x14ac:dyDescent="0.2">
      <c r="A158" s="181">
        <v>113</v>
      </c>
      <c r="B158" s="147">
        <f t="shared" si="30"/>
        <v>5478165.9799408717</v>
      </c>
      <c r="C158" s="119">
        <f t="shared" si="27"/>
        <v>702867.95116646192</v>
      </c>
      <c r="D158" s="81">
        <f t="shared" si="21"/>
        <v>31955.968216321755</v>
      </c>
      <c r="E158" s="81">
        <f t="shared" si="28"/>
        <v>670911.98295014014</v>
      </c>
      <c r="F158" s="149">
        <f t="shared" si="20"/>
        <v>6.0000000000000039E-2</v>
      </c>
      <c r="G158" s="150">
        <f t="shared" si="29"/>
        <v>5.1430128318229462E-3</v>
      </c>
      <c r="H158" s="148">
        <f t="shared" si="33"/>
        <v>24723.768992355483</v>
      </c>
      <c r="I158" s="151">
        <f t="shared" si="34"/>
        <v>4782530.2279983768</v>
      </c>
      <c r="J158" s="121">
        <f t="shared" si="31"/>
        <v>9049516.6237491034</v>
      </c>
      <c r="K158" s="119">
        <f t="shared" si="35"/>
        <v>1161084.7921862407</v>
      </c>
      <c r="L158" s="81">
        <f t="shared" si="25"/>
        <v>52788.846971869774</v>
      </c>
      <c r="M158" s="122">
        <f t="shared" si="32"/>
        <v>1108295.945214371</v>
      </c>
      <c r="N158" s="139">
        <f t="shared" si="36"/>
        <v>9.4166666666666661</v>
      </c>
      <c r="O158" s="231"/>
      <c r="P158" s="231"/>
      <c r="Q158" s="231"/>
      <c r="R158" s="234"/>
    </row>
    <row r="159" spans="1:18" x14ac:dyDescent="0.2">
      <c r="A159" s="181">
        <v>114</v>
      </c>
      <c r="B159" s="147">
        <f t="shared" si="30"/>
        <v>4782530.2279983768</v>
      </c>
      <c r="C159" s="119">
        <f t="shared" si="27"/>
        <v>699253.0922745358</v>
      </c>
      <c r="D159" s="81">
        <f t="shared" si="21"/>
        <v>27898.0929966572</v>
      </c>
      <c r="E159" s="81">
        <f t="shared" si="28"/>
        <v>671354.99927787855</v>
      </c>
      <c r="F159" s="149">
        <f t="shared" si="20"/>
        <v>6.0000000000000039E-2</v>
      </c>
      <c r="G159" s="150">
        <f t="shared" si="29"/>
        <v>5.1430128318229462E-3</v>
      </c>
      <c r="H159" s="148">
        <f t="shared" si="33"/>
        <v>21143.826955182158</v>
      </c>
      <c r="I159" s="151">
        <f t="shared" si="34"/>
        <v>4090031.4017653158</v>
      </c>
      <c r="J159" s="121">
        <f t="shared" si="31"/>
        <v>7941220.6785347322</v>
      </c>
      <c r="K159" s="119">
        <f t="shared" si="35"/>
        <v>1161084.7921862407</v>
      </c>
      <c r="L159" s="81">
        <f t="shared" si="25"/>
        <v>46323.787291452609</v>
      </c>
      <c r="M159" s="122">
        <f t="shared" si="32"/>
        <v>1114761.0048947881</v>
      </c>
      <c r="N159" s="139">
        <f t="shared" si="36"/>
        <v>9.5</v>
      </c>
      <c r="O159" s="231"/>
      <c r="P159" s="231"/>
      <c r="Q159" s="231"/>
      <c r="R159" s="234"/>
    </row>
    <row r="160" spans="1:18" x14ac:dyDescent="0.2">
      <c r="A160" s="181">
        <v>115</v>
      </c>
      <c r="B160" s="147">
        <f t="shared" si="30"/>
        <v>4090031.4017653158</v>
      </c>
      <c r="C160" s="119">
        <f t="shared" si="27"/>
        <v>695656.82464827585</v>
      </c>
      <c r="D160" s="81">
        <f t="shared" si="21"/>
        <v>23858.516510297675</v>
      </c>
      <c r="E160" s="81">
        <f t="shared" si="28"/>
        <v>671798.30813797819</v>
      </c>
      <c r="F160" s="149">
        <f t="shared" si="20"/>
        <v>6.0000000000000039E-2</v>
      </c>
      <c r="G160" s="150">
        <f t="shared" si="29"/>
        <v>5.1430128318229462E-3</v>
      </c>
      <c r="H160" s="148">
        <f t="shared" si="33"/>
        <v>17580.016662687241</v>
      </c>
      <c r="I160" s="151">
        <f t="shared" si="34"/>
        <v>3400653.0769646503</v>
      </c>
      <c r="J160" s="121">
        <f t="shared" si="31"/>
        <v>6826459.6736399438</v>
      </c>
      <c r="K160" s="119">
        <f t="shared" si="35"/>
        <v>1161084.7921862407</v>
      </c>
      <c r="L160" s="81">
        <f t="shared" si="25"/>
        <v>39821.014762899671</v>
      </c>
      <c r="M160" s="122">
        <f t="shared" si="32"/>
        <v>1121263.7774233411</v>
      </c>
      <c r="N160" s="139">
        <f t="shared" si="36"/>
        <v>9.5833333333333339</v>
      </c>
      <c r="O160" s="231"/>
      <c r="P160" s="231"/>
      <c r="Q160" s="231"/>
      <c r="R160" s="234"/>
    </row>
    <row r="161" spans="1:18" x14ac:dyDescent="0.2">
      <c r="A161" s="181">
        <v>116</v>
      </c>
      <c r="B161" s="147">
        <f t="shared" si="30"/>
        <v>3400653.0769646503</v>
      </c>
      <c r="C161" s="119">
        <f t="shared" si="27"/>
        <v>692079.05267256463</v>
      </c>
      <c r="D161" s="81">
        <f t="shared" si="21"/>
        <v>19837.14294896046</v>
      </c>
      <c r="E161" s="81">
        <f t="shared" si="28"/>
        <v>672241.90972360421</v>
      </c>
      <c r="F161" s="149">
        <f t="shared" si="20"/>
        <v>6.0000000000000039E-2</v>
      </c>
      <c r="G161" s="150">
        <f t="shared" si="29"/>
        <v>5.1430128318229462E-3</v>
      </c>
      <c r="H161" s="148">
        <f t="shared" si="33"/>
        <v>14032.253643609723</v>
      </c>
      <c r="I161" s="151">
        <f t="shared" si="34"/>
        <v>2714378.9135974366</v>
      </c>
      <c r="J161" s="121">
        <f t="shared" si="31"/>
        <v>5705195.896216603</v>
      </c>
      <c r="K161" s="119">
        <f t="shared" si="35"/>
        <v>1161084.7921862407</v>
      </c>
      <c r="L161" s="81">
        <f t="shared" si="25"/>
        <v>33280.30939459685</v>
      </c>
      <c r="M161" s="122">
        <f t="shared" si="32"/>
        <v>1127804.4827916438</v>
      </c>
      <c r="N161" s="139">
        <f t="shared" si="36"/>
        <v>9.6666666666666661</v>
      </c>
      <c r="O161" s="231"/>
      <c r="P161" s="231"/>
      <c r="Q161" s="231"/>
      <c r="R161" s="234"/>
    </row>
    <row r="162" spans="1:18" x14ac:dyDescent="0.2">
      <c r="A162" s="181">
        <v>117</v>
      </c>
      <c r="B162" s="147">
        <f t="shared" si="30"/>
        <v>2714378.9135974366</v>
      </c>
      <c r="C162" s="119">
        <f t="shared" si="27"/>
        <v>688519.6812240337</v>
      </c>
      <c r="D162" s="81">
        <f t="shared" si="21"/>
        <v>15833.876995985047</v>
      </c>
      <c r="E162" s="81">
        <f t="shared" si="28"/>
        <v>672685.80422804866</v>
      </c>
      <c r="F162" s="149">
        <f t="shared" si="20"/>
        <v>6.0000000000000039E-2</v>
      </c>
      <c r="G162" s="150">
        <f t="shared" si="29"/>
        <v>5.1430128318229462E-3</v>
      </c>
      <c r="H162" s="148">
        <f t="shared" si="33"/>
        <v>10500.453860131252</v>
      </c>
      <c r="I162" s="151">
        <f t="shared" si="34"/>
        <v>2031192.6555092568</v>
      </c>
      <c r="J162" s="121">
        <f t="shared" si="31"/>
        <v>4577391.4134249594</v>
      </c>
      <c r="K162" s="119">
        <f t="shared" si="35"/>
        <v>1161084.7921862407</v>
      </c>
      <c r="L162" s="81">
        <f t="shared" si="25"/>
        <v>26701.449911645599</v>
      </c>
      <c r="M162" s="122">
        <f t="shared" si="32"/>
        <v>1134383.3422745951</v>
      </c>
      <c r="N162" s="139">
        <f t="shared" si="36"/>
        <v>9.75</v>
      </c>
      <c r="O162" s="231"/>
      <c r="P162" s="231"/>
      <c r="Q162" s="231"/>
      <c r="R162" s="234"/>
    </row>
    <row r="163" spans="1:18" x14ac:dyDescent="0.2">
      <c r="A163" s="181">
        <v>118</v>
      </c>
      <c r="B163" s="147">
        <f t="shared" si="30"/>
        <v>2031192.6555092568</v>
      </c>
      <c r="C163" s="119">
        <f t="shared" si="27"/>
        <v>684978.61566853593</v>
      </c>
      <c r="D163" s="81">
        <f t="shared" si="21"/>
        <v>11848.623823803999</v>
      </c>
      <c r="E163" s="81">
        <f t="shared" si="28"/>
        <v>673129.99184473197</v>
      </c>
      <c r="F163" s="149">
        <f t="shared" si="20"/>
        <v>6.0000000000000039E-2</v>
      </c>
      <c r="G163" s="150">
        <f t="shared" si="29"/>
        <v>5.1430128318229462E-3</v>
      </c>
      <c r="H163" s="148">
        <f t="shared" si="33"/>
        <v>6984.5337056463013</v>
      </c>
      <c r="I163" s="151">
        <f t="shared" si="34"/>
        <v>1351078.1299588783</v>
      </c>
      <c r="J163" s="121">
        <f t="shared" si="31"/>
        <v>3443008.0711503644</v>
      </c>
      <c r="K163" s="119">
        <f t="shared" si="35"/>
        <v>1161084.7921862407</v>
      </c>
      <c r="L163" s="81">
        <f t="shared" si="25"/>
        <v>20084.213748377126</v>
      </c>
      <c r="M163" s="122">
        <f t="shared" si="32"/>
        <v>1141000.5784378636</v>
      </c>
      <c r="N163" s="139">
        <f t="shared" si="36"/>
        <v>9.8333333333333339</v>
      </c>
      <c r="O163" s="231"/>
      <c r="P163" s="231"/>
      <c r="Q163" s="231"/>
      <c r="R163" s="234"/>
    </row>
    <row r="164" spans="1:18" x14ac:dyDescent="0.2">
      <c r="A164" s="181">
        <v>119</v>
      </c>
      <c r="B164" s="147">
        <f t="shared" si="30"/>
        <v>1351078.1299588783</v>
      </c>
      <c r="C164" s="119">
        <f t="shared" si="27"/>
        <v>681455.76185862825</v>
      </c>
      <c r="D164" s="81">
        <f t="shared" si="21"/>
        <v>7881.28909142679</v>
      </c>
      <c r="E164" s="81">
        <f t="shared" si="28"/>
        <v>673574.47276720149</v>
      </c>
      <c r="F164" s="149">
        <f t="shared" si="20"/>
        <v>6.0000000000000039E-2</v>
      </c>
      <c r="G164" s="150">
        <f t="shared" si="29"/>
        <v>5.1430128318229462E-3</v>
      </c>
      <c r="H164" s="148">
        <f t="shared" si="33"/>
        <v>3484.4100025437683</v>
      </c>
      <c r="I164" s="151">
        <f t="shared" si="34"/>
        <v>674019.24718913296</v>
      </c>
      <c r="J164" s="121">
        <f t="shared" si="31"/>
        <v>2302007.4927125005</v>
      </c>
      <c r="K164" s="119">
        <f t="shared" si="35"/>
        <v>1161084.7921862407</v>
      </c>
      <c r="L164" s="81">
        <f t="shared" si="25"/>
        <v>13428.377040822921</v>
      </c>
      <c r="M164" s="122">
        <f t="shared" si="32"/>
        <v>1147656.4151454177</v>
      </c>
      <c r="N164" s="139">
        <f t="shared" si="36"/>
        <v>9.9166666666666661</v>
      </c>
      <c r="O164" s="231"/>
      <c r="P164" s="231"/>
      <c r="Q164" s="231"/>
      <c r="R164" s="234"/>
    </row>
    <row r="165" spans="1:18" ht="13.5" thickBot="1" x14ac:dyDescent="0.25">
      <c r="A165" s="182">
        <v>120</v>
      </c>
      <c r="B165" s="153">
        <f t="shared" si="30"/>
        <v>674019.24718913296</v>
      </c>
      <c r="C165" s="153">
        <f t="shared" si="27"/>
        <v>677951.02613106952</v>
      </c>
      <c r="D165" s="153">
        <f t="shared" si="21"/>
        <v>3931.778941936609</v>
      </c>
      <c r="E165" s="153">
        <f t="shared" si="28"/>
        <v>674019.24718913296</v>
      </c>
      <c r="F165" s="155">
        <f t="shared" si="20"/>
        <v>6.0000000000000039E-2</v>
      </c>
      <c r="G165" s="156">
        <f t="shared" si="29"/>
        <v>5.1430128318229462E-3</v>
      </c>
      <c r="H165" s="154">
        <f t="shared" si="33"/>
        <v>0</v>
      </c>
      <c r="I165" s="157">
        <f t="shared" si="34"/>
        <v>0</v>
      </c>
      <c r="J165" s="127">
        <f t="shared" si="31"/>
        <v>1154351.0775670828</v>
      </c>
      <c r="K165" s="128">
        <f t="shared" si="35"/>
        <v>1161084.7921862407</v>
      </c>
      <c r="L165" s="129">
        <f t="shared" si="25"/>
        <v>6733.7146191413167</v>
      </c>
      <c r="M165" s="130">
        <f t="shared" si="32"/>
        <v>1154351.0775670994</v>
      </c>
      <c r="N165" s="178">
        <f t="shared" si="36"/>
        <v>10</v>
      </c>
      <c r="O165" s="232"/>
      <c r="P165" s="232"/>
      <c r="Q165" s="232"/>
      <c r="R165" s="235"/>
    </row>
  </sheetData>
  <mergeCells count="61">
    <mergeCell ref="A44:I44"/>
    <mergeCell ref="P43:T43"/>
    <mergeCell ref="J44:M44"/>
    <mergeCell ref="O44:P44"/>
    <mergeCell ref="Q44:R44"/>
    <mergeCell ref="O49:O51"/>
    <mergeCell ref="P49:P51"/>
    <mergeCell ref="Q49:Q51"/>
    <mergeCell ref="R49:R51"/>
    <mergeCell ref="O47:O48"/>
    <mergeCell ref="P47:P48"/>
    <mergeCell ref="Q47:Q48"/>
    <mergeCell ref="R47:R48"/>
    <mergeCell ref="O52:O54"/>
    <mergeCell ref="P52:P54"/>
    <mergeCell ref="Q52:Q54"/>
    <mergeCell ref="R52:R54"/>
    <mergeCell ref="O55:O57"/>
    <mergeCell ref="P55:P57"/>
    <mergeCell ref="Q55:Q57"/>
    <mergeCell ref="R55:R57"/>
    <mergeCell ref="O58:O63"/>
    <mergeCell ref="P58:P63"/>
    <mergeCell ref="Q58:Q63"/>
    <mergeCell ref="R58:R63"/>
    <mergeCell ref="O64:O69"/>
    <mergeCell ref="P64:P69"/>
    <mergeCell ref="Q64:Q69"/>
    <mergeCell ref="R64:R69"/>
    <mergeCell ref="O70:O81"/>
    <mergeCell ref="P70:P81"/>
    <mergeCell ref="Q70:Q81"/>
    <mergeCell ref="R70:R81"/>
    <mergeCell ref="O82:O93"/>
    <mergeCell ref="P82:P93"/>
    <mergeCell ref="Q82:Q93"/>
    <mergeCell ref="R82:R93"/>
    <mergeCell ref="O94:O105"/>
    <mergeCell ref="P94:P105"/>
    <mergeCell ref="Q94:Q105"/>
    <mergeCell ref="R94:R105"/>
    <mergeCell ref="O106:O117"/>
    <mergeCell ref="P106:P117"/>
    <mergeCell ref="Q106:Q117"/>
    <mergeCell ref="R106:R117"/>
    <mergeCell ref="O118:O129"/>
    <mergeCell ref="P118:P129"/>
    <mergeCell ref="Q118:Q129"/>
    <mergeCell ref="R118:R129"/>
    <mergeCell ref="O130:O141"/>
    <mergeCell ref="P130:P141"/>
    <mergeCell ref="Q130:Q141"/>
    <mergeCell ref="R130:R141"/>
    <mergeCell ref="O142:O153"/>
    <mergeCell ref="P142:P153"/>
    <mergeCell ref="Q142:Q153"/>
    <mergeCell ref="R142:R153"/>
    <mergeCell ref="O154:O165"/>
    <mergeCell ref="P154:P165"/>
    <mergeCell ref="Q154:Q165"/>
    <mergeCell ref="R154:R16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21"/>
  <sheetViews>
    <sheetView zoomScale="85" zoomScaleNormal="85" workbookViewId="0">
      <selection activeCell="F2" sqref="F2:G2"/>
    </sheetView>
  </sheetViews>
  <sheetFormatPr defaultRowHeight="12.75" x14ac:dyDescent="0.2"/>
  <cols>
    <col min="1" max="1" width="19.85546875" bestFit="1" customWidth="1"/>
    <col min="2" max="2" width="22.42578125" customWidth="1"/>
    <col min="3" max="3" width="17.28515625" bestFit="1" customWidth="1"/>
    <col min="4" max="4" width="13.85546875" customWidth="1"/>
    <col min="5" max="7" width="15.28515625" customWidth="1"/>
    <col min="8" max="8" width="18.140625" customWidth="1"/>
    <col min="9" max="9" width="23" customWidth="1"/>
    <col min="10" max="10" width="34.7109375" customWidth="1"/>
    <col min="11" max="11" width="15" bestFit="1" customWidth="1"/>
    <col min="12" max="12" width="12.140625" customWidth="1"/>
    <col min="13" max="13" width="7.7109375" customWidth="1"/>
    <col min="14" max="14" width="23.5703125" customWidth="1"/>
    <col min="15" max="16" width="15.42578125" customWidth="1"/>
    <col min="17" max="17" width="14.85546875" customWidth="1"/>
    <col min="18" max="18" width="10.28515625" bestFit="1" customWidth="1"/>
  </cols>
  <sheetData>
    <row r="1" spans="1:11" ht="201" customHeight="1" thickBot="1" x14ac:dyDescent="0.25"/>
    <row r="2" spans="1:11" ht="51.75" customHeight="1" thickTop="1" thickBot="1" x14ac:dyDescent="0.25">
      <c r="A2" s="58" t="s">
        <v>19</v>
      </c>
      <c r="B2" s="58" t="s">
        <v>18</v>
      </c>
      <c r="C2" s="58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35" t="s">
        <v>36</v>
      </c>
      <c r="B5" s="39" t="s">
        <v>72</v>
      </c>
      <c r="C5" s="39" t="s">
        <v>73</v>
      </c>
      <c r="D5" s="34" t="s">
        <v>59</v>
      </c>
      <c r="E5" s="41" t="s">
        <v>74</v>
      </c>
      <c r="F5" s="41" t="s">
        <v>143</v>
      </c>
      <c r="G5" s="203" t="s">
        <v>146</v>
      </c>
      <c r="H5" s="190">
        <f>-9722222.22222222-50000000</f>
        <v>-59722222.222222224</v>
      </c>
      <c r="I5" s="43"/>
      <c r="J5" s="43">
        <v>-150000000</v>
      </c>
      <c r="K5" s="21"/>
    </row>
    <row r="6" spans="1:11" x14ac:dyDescent="0.2">
      <c r="A6" s="36" t="s">
        <v>36</v>
      </c>
      <c r="B6" s="39" t="s">
        <v>72</v>
      </c>
      <c r="C6" s="41" t="s">
        <v>73</v>
      </c>
      <c r="D6" s="39" t="s">
        <v>59</v>
      </c>
      <c r="E6" s="41" t="s">
        <v>61</v>
      </c>
      <c r="F6" s="41" t="s">
        <v>143</v>
      </c>
      <c r="G6" s="203" t="s">
        <v>146</v>
      </c>
      <c r="H6" s="190">
        <v>-13888888.888888888</v>
      </c>
      <c r="I6" s="45"/>
      <c r="J6" s="45"/>
      <c r="K6" s="42"/>
    </row>
    <row r="7" spans="1:11" x14ac:dyDescent="0.2">
      <c r="A7" s="36" t="s">
        <v>36</v>
      </c>
      <c r="B7" s="39" t="s">
        <v>72</v>
      </c>
      <c r="C7" s="41" t="s">
        <v>73</v>
      </c>
      <c r="D7" s="39" t="s">
        <v>59</v>
      </c>
      <c r="E7" s="41" t="s">
        <v>62</v>
      </c>
      <c r="F7" s="41" t="s">
        <v>143</v>
      </c>
      <c r="G7" s="203" t="s">
        <v>146</v>
      </c>
      <c r="H7" s="190">
        <v>-15277777.777777774</v>
      </c>
      <c r="I7" s="45"/>
      <c r="J7" s="45"/>
      <c r="K7" s="42"/>
    </row>
    <row r="8" spans="1:11" x14ac:dyDescent="0.2">
      <c r="A8" s="36" t="s">
        <v>36</v>
      </c>
      <c r="B8" s="39" t="s">
        <v>72</v>
      </c>
      <c r="C8" s="41" t="s">
        <v>73</v>
      </c>
      <c r="D8" s="39" t="s">
        <v>59</v>
      </c>
      <c r="E8" s="41" t="s">
        <v>63</v>
      </c>
      <c r="F8" s="41" t="s">
        <v>143</v>
      </c>
      <c r="G8" s="203" t="s">
        <v>146</v>
      </c>
      <c r="H8" s="191">
        <v>-11111111.11111111</v>
      </c>
      <c r="I8" s="45"/>
      <c r="J8" s="45"/>
      <c r="K8" s="42"/>
    </row>
    <row r="9" spans="1:11" x14ac:dyDescent="0.2">
      <c r="A9" s="36" t="s">
        <v>36</v>
      </c>
      <c r="B9" s="39" t="s">
        <v>72</v>
      </c>
      <c r="C9" s="41" t="s">
        <v>73</v>
      </c>
      <c r="D9" s="39" t="s">
        <v>59</v>
      </c>
      <c r="E9" s="41" t="s">
        <v>64</v>
      </c>
      <c r="F9" s="41" t="s">
        <v>143</v>
      </c>
      <c r="G9" s="203" t="s">
        <v>146</v>
      </c>
      <c r="H9" s="191">
        <v>-11111111.11111111</v>
      </c>
      <c r="I9" s="45"/>
      <c r="J9" s="45"/>
      <c r="K9" s="42"/>
    </row>
    <row r="10" spans="1:11" x14ac:dyDescent="0.2">
      <c r="A10" s="36" t="s">
        <v>36</v>
      </c>
      <c r="B10" s="39" t="s">
        <v>72</v>
      </c>
      <c r="C10" s="41" t="s">
        <v>73</v>
      </c>
      <c r="D10" s="39" t="s">
        <v>59</v>
      </c>
      <c r="E10" s="41" t="s">
        <v>65</v>
      </c>
      <c r="F10" s="41" t="s">
        <v>143</v>
      </c>
      <c r="G10" s="203" t="s">
        <v>146</v>
      </c>
      <c r="H10" s="191">
        <v>-13888888.888888884</v>
      </c>
      <c r="I10" s="45"/>
      <c r="J10" s="45"/>
      <c r="K10" s="42"/>
    </row>
    <row r="11" spans="1:11" x14ac:dyDescent="0.2">
      <c r="A11" s="36" t="s">
        <v>36</v>
      </c>
      <c r="B11" s="39" t="s">
        <v>72</v>
      </c>
      <c r="C11" s="41" t="s">
        <v>73</v>
      </c>
      <c r="D11" s="39" t="s">
        <v>59</v>
      </c>
      <c r="E11" s="41" t="s">
        <v>66</v>
      </c>
      <c r="F11" s="41" t="s">
        <v>143</v>
      </c>
      <c r="G11" s="203" t="s">
        <v>146</v>
      </c>
      <c r="H11" s="191">
        <v>-13888888.888888884</v>
      </c>
      <c r="I11" s="45"/>
      <c r="J11" s="45"/>
      <c r="K11" s="42"/>
    </row>
    <row r="12" spans="1:11" x14ac:dyDescent="0.2">
      <c r="A12" s="36" t="s">
        <v>36</v>
      </c>
      <c r="B12" s="39" t="s">
        <v>72</v>
      </c>
      <c r="C12" s="39" t="s">
        <v>73</v>
      </c>
      <c r="D12" s="39" t="s">
        <v>59</v>
      </c>
      <c r="E12" s="41" t="s">
        <v>67</v>
      </c>
      <c r="F12" s="41" t="s">
        <v>143</v>
      </c>
      <c r="G12" s="203" t="s">
        <v>146</v>
      </c>
      <c r="H12" s="191">
        <v>-11111111.111111106</v>
      </c>
      <c r="I12" s="45"/>
      <c r="J12" s="45"/>
      <c r="K12" s="42"/>
    </row>
    <row r="13" spans="1:11" x14ac:dyDescent="0.2">
      <c r="A13" s="36" t="s">
        <v>36</v>
      </c>
      <c r="B13" s="39" t="s">
        <v>72</v>
      </c>
      <c r="C13" s="39" t="s">
        <v>73</v>
      </c>
      <c r="D13" s="41" t="s">
        <v>60</v>
      </c>
      <c r="E13" s="39" t="s">
        <v>74</v>
      </c>
      <c r="F13" s="41" t="s">
        <v>143</v>
      </c>
      <c r="G13" s="203" t="s">
        <v>146</v>
      </c>
      <c r="H13" s="191">
        <v>-10000.000000000002</v>
      </c>
      <c r="I13" s="45"/>
      <c r="J13" s="45"/>
      <c r="K13" s="42"/>
    </row>
    <row r="14" spans="1:11" x14ac:dyDescent="0.2">
      <c r="A14" s="36" t="s">
        <v>36</v>
      </c>
      <c r="B14" s="39" t="s">
        <v>72</v>
      </c>
      <c r="C14" s="39" t="s">
        <v>73</v>
      </c>
      <c r="D14" s="41" t="s">
        <v>60</v>
      </c>
      <c r="E14" s="41" t="s">
        <v>61</v>
      </c>
      <c r="F14" s="41" t="s">
        <v>143</v>
      </c>
      <c r="G14" s="203" t="s">
        <v>146</v>
      </c>
      <c r="H14" s="191">
        <v>-17361.111111111109</v>
      </c>
      <c r="I14" s="45"/>
      <c r="J14" s="45"/>
      <c r="K14" s="42"/>
    </row>
    <row r="15" spans="1:11" x14ac:dyDescent="0.2">
      <c r="A15" s="36" t="s">
        <v>36</v>
      </c>
      <c r="B15" s="39" t="s">
        <v>72</v>
      </c>
      <c r="C15" s="39" t="s">
        <v>73</v>
      </c>
      <c r="D15" s="41" t="s">
        <v>60</v>
      </c>
      <c r="E15" s="41" t="s">
        <v>62</v>
      </c>
      <c r="F15" s="41" t="s">
        <v>143</v>
      </c>
      <c r="G15" s="203" t="s">
        <v>146</v>
      </c>
      <c r="H15" s="191">
        <v>-21388.88888888888</v>
      </c>
      <c r="I15" s="45"/>
      <c r="J15" s="45"/>
      <c r="K15" s="42"/>
    </row>
    <row r="16" spans="1:11" x14ac:dyDescent="0.2">
      <c r="A16" s="36" t="s">
        <v>36</v>
      </c>
      <c r="B16" s="39" t="s">
        <v>72</v>
      </c>
      <c r="C16" s="39" t="s">
        <v>73</v>
      </c>
      <c r="D16" s="41" t="s">
        <v>60</v>
      </c>
      <c r="E16" s="41" t="s">
        <v>63</v>
      </c>
      <c r="F16" s="41" t="s">
        <v>143</v>
      </c>
      <c r="G16" s="203" t="s">
        <v>146</v>
      </c>
      <c r="H16" s="191">
        <v>-17222.222222222215</v>
      </c>
      <c r="I16" s="45"/>
      <c r="J16" s="45"/>
      <c r="K16" s="42"/>
    </row>
    <row r="17" spans="1:11" x14ac:dyDescent="0.2">
      <c r="A17" s="36" t="s">
        <v>36</v>
      </c>
      <c r="B17" s="39" t="s">
        <v>72</v>
      </c>
      <c r="C17" s="39" t="s">
        <v>73</v>
      </c>
      <c r="D17" s="41" t="s">
        <v>60</v>
      </c>
      <c r="E17" s="41" t="s">
        <v>64</v>
      </c>
      <c r="F17" s="41" t="s">
        <v>143</v>
      </c>
      <c r="G17" s="203" t="s">
        <v>146</v>
      </c>
      <c r="H17" s="191">
        <v>-13888.888888888883</v>
      </c>
      <c r="I17" s="45"/>
      <c r="J17" s="45"/>
      <c r="K17" s="42"/>
    </row>
    <row r="18" spans="1:11" x14ac:dyDescent="0.2">
      <c r="A18" s="36" t="s">
        <v>36</v>
      </c>
      <c r="B18" s="39" t="s">
        <v>72</v>
      </c>
      <c r="C18" s="39" t="s">
        <v>73</v>
      </c>
      <c r="D18" s="41" t="s">
        <v>60</v>
      </c>
      <c r="E18" s="41" t="s">
        <v>65</v>
      </c>
      <c r="F18" s="41" t="s">
        <v>143</v>
      </c>
      <c r="G18" s="203" t="s">
        <v>146</v>
      </c>
      <c r="H18" s="191">
        <v>-19861.111111111106</v>
      </c>
      <c r="I18" s="45"/>
      <c r="J18" s="45"/>
      <c r="K18" s="42"/>
    </row>
    <row r="19" spans="1:11" x14ac:dyDescent="0.2">
      <c r="A19" s="36" t="s">
        <v>36</v>
      </c>
      <c r="B19" s="39" t="s">
        <v>72</v>
      </c>
      <c r="C19" s="39" t="s">
        <v>73</v>
      </c>
      <c r="D19" s="41" t="s">
        <v>60</v>
      </c>
      <c r="E19" s="41" t="s">
        <v>66</v>
      </c>
      <c r="F19" s="41" t="s">
        <v>143</v>
      </c>
      <c r="G19" s="203" t="s">
        <v>146</v>
      </c>
      <c r="H19" s="191">
        <v>-11527.777777777774</v>
      </c>
      <c r="I19" s="45"/>
      <c r="J19" s="45"/>
      <c r="K19" s="42"/>
    </row>
    <row r="20" spans="1:11" s="47" customFormat="1" ht="13.5" thickBot="1" x14ac:dyDescent="0.25">
      <c r="A20" s="64" t="s">
        <v>36</v>
      </c>
      <c r="B20" s="65" t="s">
        <v>72</v>
      </c>
      <c r="C20" s="65" t="s">
        <v>73</v>
      </c>
      <c r="D20" s="65" t="s">
        <v>60</v>
      </c>
      <c r="E20" s="65" t="s">
        <v>67</v>
      </c>
      <c r="F20" s="99" t="s">
        <v>143</v>
      </c>
      <c r="G20" s="211" t="s">
        <v>146</v>
      </c>
      <c r="H20" s="192">
        <v>-7222.222222222219</v>
      </c>
      <c r="I20" s="66"/>
      <c r="J20" s="66"/>
      <c r="K20" s="67"/>
    </row>
    <row r="21" spans="1:11" ht="13.5" thickTop="1" x14ac:dyDescent="0.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26"/>
  <sheetViews>
    <sheetView zoomScale="85" zoomScaleNormal="85" workbookViewId="0">
      <selection activeCell="F16" sqref="F16"/>
    </sheetView>
  </sheetViews>
  <sheetFormatPr defaultRowHeight="12.75" x14ac:dyDescent="0.2"/>
  <cols>
    <col min="1" max="1" width="14.140625" customWidth="1"/>
    <col min="2" max="2" width="16.140625" bestFit="1" customWidth="1"/>
    <col min="3" max="4" width="16.5703125" bestFit="1" customWidth="1"/>
    <col min="5" max="5" width="13.85546875" bestFit="1" customWidth="1"/>
    <col min="6" max="7" width="13.85546875" customWidth="1"/>
    <col min="8" max="8" width="28.140625" customWidth="1"/>
    <col min="9" max="9" width="26" customWidth="1"/>
    <col min="10" max="10" width="33.7109375" customWidth="1"/>
    <col min="11" max="11" width="9.42578125" bestFit="1" customWidth="1"/>
    <col min="12" max="12" width="14" bestFit="1" customWidth="1"/>
    <col min="13" max="13" width="12.42578125" bestFit="1" customWidth="1"/>
  </cols>
  <sheetData>
    <row r="1" spans="1:11" ht="50.25" customHeight="1" thickBot="1" x14ac:dyDescent="0.25"/>
    <row r="2" spans="1:11" ht="39.75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35" t="s">
        <v>36</v>
      </c>
      <c r="B5" s="39" t="s">
        <v>82</v>
      </c>
      <c r="C5" s="39" t="s">
        <v>83</v>
      </c>
      <c r="D5" s="34" t="s">
        <v>60</v>
      </c>
      <c r="E5" s="41" t="s">
        <v>64</v>
      </c>
      <c r="F5" s="41" t="s">
        <v>143</v>
      </c>
      <c r="G5" s="203" t="s">
        <v>145</v>
      </c>
      <c r="H5" s="43"/>
      <c r="I5" s="43">
        <f>-B21</f>
        <v>-2750000</v>
      </c>
      <c r="J5" s="43"/>
      <c r="K5" s="21"/>
    </row>
    <row r="6" spans="1:11" x14ac:dyDescent="0.2">
      <c r="A6" s="36" t="s">
        <v>36</v>
      </c>
      <c r="B6" s="39" t="s">
        <v>82</v>
      </c>
      <c r="C6" s="41" t="s">
        <v>83</v>
      </c>
      <c r="D6" s="39" t="s">
        <v>60</v>
      </c>
      <c r="E6" s="39" t="s">
        <v>66</v>
      </c>
      <c r="F6" s="41" t="s">
        <v>143</v>
      </c>
      <c r="G6" s="203" t="s">
        <v>145</v>
      </c>
      <c r="H6" s="44"/>
      <c r="I6" s="44">
        <f>-B23</f>
        <v>-2750000</v>
      </c>
      <c r="J6" s="44"/>
      <c r="K6" s="17"/>
    </row>
    <row r="7" spans="1:11" x14ac:dyDescent="0.2">
      <c r="A7" s="36" t="s">
        <v>36</v>
      </c>
      <c r="B7" s="39" t="s">
        <v>82</v>
      </c>
      <c r="C7" s="41" t="s">
        <v>83</v>
      </c>
      <c r="D7" s="39" t="s">
        <v>60</v>
      </c>
      <c r="E7" s="41" t="s">
        <v>67</v>
      </c>
      <c r="F7" s="41" t="s">
        <v>143</v>
      </c>
      <c r="G7" s="203" t="s">
        <v>145</v>
      </c>
      <c r="H7" s="45"/>
      <c r="I7" s="44">
        <f>-B25</f>
        <v>-2750000</v>
      </c>
      <c r="J7" s="45"/>
      <c r="K7" s="42"/>
    </row>
    <row r="8" spans="1:11" x14ac:dyDescent="0.2">
      <c r="A8" s="36" t="s">
        <v>36</v>
      </c>
      <c r="B8" s="39" t="s">
        <v>82</v>
      </c>
      <c r="C8" s="41" t="s">
        <v>83</v>
      </c>
      <c r="D8" s="41" t="s">
        <v>59</v>
      </c>
      <c r="E8" s="41" t="s">
        <v>67</v>
      </c>
      <c r="F8" s="41" t="s">
        <v>143</v>
      </c>
      <c r="G8" s="203" t="s">
        <v>145</v>
      </c>
      <c r="H8" s="45"/>
      <c r="I8" s="45">
        <f>+-B15</f>
        <v>-500000000</v>
      </c>
      <c r="J8" s="45"/>
      <c r="K8" s="42"/>
    </row>
    <row r="9" spans="1:11" x14ac:dyDescent="0.2">
      <c r="A9" s="36" t="s">
        <v>36</v>
      </c>
      <c r="B9" s="41" t="s">
        <v>84</v>
      </c>
      <c r="C9" s="41" t="s">
        <v>58</v>
      </c>
      <c r="D9" s="41" t="s">
        <v>59</v>
      </c>
      <c r="E9" s="41" t="s">
        <v>62</v>
      </c>
      <c r="F9" s="41" t="s">
        <v>143</v>
      </c>
      <c r="G9" s="203" t="s">
        <v>145</v>
      </c>
      <c r="H9" s="45"/>
      <c r="I9" s="45">
        <f>+B15</f>
        <v>500000000</v>
      </c>
      <c r="J9" s="45"/>
      <c r="K9" s="42"/>
    </row>
    <row r="10" spans="1:11" ht="13.5" thickBot="1" x14ac:dyDescent="0.25">
      <c r="A10" s="98" t="s">
        <v>36</v>
      </c>
      <c r="B10" s="99" t="s">
        <v>84</v>
      </c>
      <c r="C10" s="99" t="s">
        <v>58</v>
      </c>
      <c r="D10" s="99" t="s">
        <v>60</v>
      </c>
      <c r="E10" s="99" t="s">
        <v>62</v>
      </c>
      <c r="F10" s="99" t="s">
        <v>143</v>
      </c>
      <c r="G10" s="211" t="s">
        <v>144</v>
      </c>
      <c r="H10" s="46"/>
      <c r="I10" s="46">
        <f>+C20</f>
        <v>500000</v>
      </c>
      <c r="J10" s="46"/>
      <c r="K10" s="14"/>
    </row>
    <row r="11" spans="1:11" ht="13.5" thickTop="1" x14ac:dyDescent="0.2"/>
    <row r="12" spans="1:11" x14ac:dyDescent="0.2">
      <c r="A12" s="77" t="s">
        <v>40</v>
      </c>
      <c r="B12" s="189" t="s">
        <v>131</v>
      </c>
      <c r="C12" s="90"/>
      <c r="D12" s="47"/>
      <c r="E12" s="47"/>
      <c r="F12" s="47"/>
      <c r="G12" s="47"/>
      <c r="K12" s="47"/>
    </row>
    <row r="13" spans="1:11" x14ac:dyDescent="0.2">
      <c r="A13" s="77" t="s">
        <v>75</v>
      </c>
      <c r="B13" s="194">
        <v>5.4999999999999997E-3</v>
      </c>
      <c r="C13" s="90"/>
      <c r="D13" s="47"/>
      <c r="E13" s="47"/>
      <c r="F13" s="47"/>
      <c r="G13" s="47"/>
      <c r="H13" s="47"/>
      <c r="J13" s="47"/>
    </row>
    <row r="14" spans="1:11" x14ac:dyDescent="0.2">
      <c r="A14" s="77" t="s">
        <v>76</v>
      </c>
      <c r="B14" s="189" t="s">
        <v>79</v>
      </c>
      <c r="C14" s="90"/>
      <c r="D14" s="47"/>
      <c r="E14" s="47"/>
      <c r="F14" s="47"/>
      <c r="G14" s="47"/>
      <c r="H14" s="47"/>
    </row>
    <row r="15" spans="1:11" x14ac:dyDescent="0.2">
      <c r="A15" s="77" t="s">
        <v>93</v>
      </c>
      <c r="B15" s="160">
        <v>500000000</v>
      </c>
      <c r="C15" s="90"/>
      <c r="D15" s="47"/>
      <c r="E15" s="47"/>
      <c r="F15" s="47"/>
      <c r="G15" s="47"/>
    </row>
    <row r="16" spans="1:11" x14ac:dyDescent="0.2">
      <c r="A16" s="77" t="s">
        <v>85</v>
      </c>
      <c r="B16" s="160" t="s">
        <v>71</v>
      </c>
      <c r="C16" s="48"/>
      <c r="D16" s="57"/>
      <c r="E16" s="90"/>
      <c r="F16" s="90"/>
      <c r="G16" s="90"/>
      <c r="H16" s="47"/>
    </row>
    <row r="17" spans="1:4" x14ac:dyDescent="0.2">
      <c r="A17" s="77" t="s">
        <v>79</v>
      </c>
      <c r="B17" s="91">
        <v>2E-3</v>
      </c>
      <c r="C17" s="48"/>
    </row>
    <row r="18" spans="1:4" ht="13.5" thickBot="1" x14ac:dyDescent="0.25"/>
    <row r="19" spans="1:4" ht="13.5" thickBot="1" x14ac:dyDescent="0.25">
      <c r="A19" s="188" t="s">
        <v>92</v>
      </c>
      <c r="B19" s="186" t="s">
        <v>129</v>
      </c>
      <c r="C19" s="187" t="s">
        <v>130</v>
      </c>
      <c r="D19" s="47"/>
    </row>
    <row r="20" spans="1:4" x14ac:dyDescent="0.2">
      <c r="A20" s="183">
        <v>0.5</v>
      </c>
      <c r="B20" s="184"/>
      <c r="C20" s="185">
        <f>B15*(B17/2)</f>
        <v>500000</v>
      </c>
      <c r="D20" s="33"/>
    </row>
    <row r="21" spans="1:4" x14ac:dyDescent="0.2">
      <c r="A21" s="92">
        <v>1</v>
      </c>
      <c r="B21" s="86">
        <f>B15*B13</f>
        <v>2750000</v>
      </c>
      <c r="C21" s="87"/>
      <c r="D21" s="33"/>
    </row>
    <row r="22" spans="1:4" x14ac:dyDescent="0.2">
      <c r="A22" s="92">
        <v>1.5</v>
      </c>
      <c r="B22" s="86"/>
      <c r="C22" s="87"/>
      <c r="D22" s="33"/>
    </row>
    <row r="23" spans="1:4" x14ac:dyDescent="0.2">
      <c r="A23" s="92">
        <v>2</v>
      </c>
      <c r="B23" s="86">
        <f>B15*B13</f>
        <v>2750000</v>
      </c>
      <c r="C23" s="87"/>
      <c r="D23" s="33"/>
    </row>
    <row r="24" spans="1:4" x14ac:dyDescent="0.2">
      <c r="A24" s="92">
        <v>2.5</v>
      </c>
      <c r="B24" s="86"/>
      <c r="C24" s="87"/>
      <c r="D24" s="33"/>
    </row>
    <row r="25" spans="1:4" ht="13.5" thickBot="1" x14ac:dyDescent="0.25">
      <c r="A25" s="93">
        <v>3</v>
      </c>
      <c r="B25" s="88">
        <f>+B15*B13</f>
        <v>2750000</v>
      </c>
      <c r="C25" s="89"/>
      <c r="D25" s="33"/>
    </row>
    <row r="26" spans="1:4" x14ac:dyDescent="0.2">
      <c r="D26" s="3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2"/>
  <sheetViews>
    <sheetView zoomScale="85" zoomScaleNormal="85" workbookViewId="0">
      <selection activeCell="F12" sqref="F11:G12"/>
    </sheetView>
  </sheetViews>
  <sheetFormatPr defaultRowHeight="12.75" x14ac:dyDescent="0.2"/>
  <cols>
    <col min="1" max="1" width="14.140625" customWidth="1"/>
    <col min="2" max="4" width="16.5703125" bestFit="1" customWidth="1"/>
    <col min="5" max="5" width="13.85546875" bestFit="1" customWidth="1"/>
    <col min="6" max="7" width="13.85546875" customWidth="1"/>
    <col min="8" max="8" width="28.140625" customWidth="1"/>
    <col min="9" max="9" width="26" customWidth="1"/>
    <col min="10" max="10" width="33.7109375" customWidth="1"/>
    <col min="11" max="11" width="9.42578125" bestFit="1" customWidth="1"/>
    <col min="12" max="12" width="14" bestFit="1" customWidth="1"/>
    <col min="13" max="13" width="12.42578125" bestFit="1" customWidth="1"/>
  </cols>
  <sheetData>
    <row r="1" spans="1:11" ht="97.5" customHeight="1" thickBot="1" x14ac:dyDescent="0.25"/>
    <row r="2" spans="1:11" ht="39.75" thickTop="1" thickBot="1" x14ac:dyDescent="0.25">
      <c r="A2" s="25" t="s">
        <v>19</v>
      </c>
      <c r="B2" s="25" t="s">
        <v>18</v>
      </c>
      <c r="C2" s="25" t="s">
        <v>17</v>
      </c>
      <c r="D2" s="25" t="s">
        <v>16</v>
      </c>
      <c r="E2" s="25" t="s">
        <v>15</v>
      </c>
      <c r="F2" s="210" t="s">
        <v>139</v>
      </c>
      <c r="G2" s="210" t="s">
        <v>140</v>
      </c>
      <c r="H2" s="25" t="s">
        <v>14</v>
      </c>
      <c r="I2" s="25" t="s">
        <v>13</v>
      </c>
      <c r="J2" s="25" t="s">
        <v>12</v>
      </c>
      <c r="K2" s="25" t="s">
        <v>11</v>
      </c>
    </row>
    <row r="3" spans="1:11" ht="14.25" thickTop="1" thickBot="1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</row>
    <row r="4" spans="1:11" ht="14.25" thickTop="1" thickBot="1" x14ac:dyDescent="0.25">
      <c r="A4" s="25" t="s">
        <v>10</v>
      </c>
      <c r="B4" s="25" t="s">
        <v>9</v>
      </c>
      <c r="C4" s="25" t="s">
        <v>8</v>
      </c>
      <c r="D4" s="25" t="s">
        <v>7</v>
      </c>
      <c r="E4" s="25" t="s">
        <v>6</v>
      </c>
      <c r="F4" s="25" t="s">
        <v>5</v>
      </c>
      <c r="G4" s="25" t="s">
        <v>4</v>
      </c>
      <c r="H4" s="25" t="s">
        <v>3</v>
      </c>
      <c r="I4" s="25" t="s">
        <v>141</v>
      </c>
      <c r="J4" s="25" t="s">
        <v>142</v>
      </c>
      <c r="K4" s="25" t="s">
        <v>2</v>
      </c>
    </row>
    <row r="5" spans="1:11" ht="13.5" thickTop="1" x14ac:dyDescent="0.2">
      <c r="A5" s="51" t="s">
        <v>35</v>
      </c>
      <c r="B5" s="52" t="s">
        <v>82</v>
      </c>
      <c r="C5" s="40" t="s">
        <v>58</v>
      </c>
      <c r="D5" s="52" t="s">
        <v>60</v>
      </c>
      <c r="E5" s="40" t="s">
        <v>62</v>
      </c>
      <c r="F5" s="41" t="s">
        <v>143</v>
      </c>
      <c r="G5" s="203" t="s">
        <v>146</v>
      </c>
      <c r="H5" s="53"/>
      <c r="I5" s="53">
        <f>-B26*B19</f>
        <v>-812500</v>
      </c>
      <c r="J5" s="53"/>
      <c r="K5" s="54"/>
    </row>
    <row r="6" spans="1:11" x14ac:dyDescent="0.2">
      <c r="A6" s="36" t="s">
        <v>35</v>
      </c>
      <c r="B6" s="39" t="s">
        <v>82</v>
      </c>
      <c r="C6" s="41" t="s">
        <v>58</v>
      </c>
      <c r="D6" s="39" t="s">
        <v>59</v>
      </c>
      <c r="E6" s="41" t="s">
        <v>62</v>
      </c>
      <c r="F6" s="41" t="s">
        <v>143</v>
      </c>
      <c r="G6" s="203" t="s">
        <v>146</v>
      </c>
      <c r="H6" s="45"/>
      <c r="I6" s="45">
        <f>-B17*B19</f>
        <v>-3250000000</v>
      </c>
      <c r="J6" s="45"/>
      <c r="K6" s="42"/>
    </row>
    <row r="7" spans="1:11" x14ac:dyDescent="0.2">
      <c r="A7" s="36" t="s">
        <v>36</v>
      </c>
      <c r="B7" s="39" t="s">
        <v>84</v>
      </c>
      <c r="C7" s="39" t="s">
        <v>58</v>
      </c>
      <c r="D7" s="39" t="s">
        <v>60</v>
      </c>
      <c r="E7" s="41" t="s">
        <v>62</v>
      </c>
      <c r="F7" s="41" t="s">
        <v>143</v>
      </c>
      <c r="G7" s="203" t="s">
        <v>146</v>
      </c>
      <c r="H7" s="45"/>
      <c r="I7" s="45">
        <f>+C26</f>
        <v>6400000</v>
      </c>
      <c r="J7" s="45"/>
      <c r="K7" s="42"/>
    </row>
    <row r="8" spans="1:11" x14ac:dyDescent="0.2">
      <c r="A8" s="36" t="s">
        <v>36</v>
      </c>
      <c r="B8" s="39" t="s">
        <v>84</v>
      </c>
      <c r="C8" s="39" t="s">
        <v>58</v>
      </c>
      <c r="D8" s="39" t="s">
        <v>60</v>
      </c>
      <c r="E8" s="39" t="s">
        <v>64</v>
      </c>
      <c r="F8" s="41" t="s">
        <v>143</v>
      </c>
      <c r="G8" s="203" t="s">
        <v>146</v>
      </c>
      <c r="H8" s="45"/>
      <c r="I8" s="45">
        <f>+C27</f>
        <v>3200000</v>
      </c>
      <c r="J8" s="45"/>
      <c r="K8" s="42"/>
    </row>
    <row r="9" spans="1:11" x14ac:dyDescent="0.2">
      <c r="A9" s="36" t="s">
        <v>36</v>
      </c>
      <c r="B9" s="39" t="s">
        <v>84</v>
      </c>
      <c r="C9" s="39" t="s">
        <v>58</v>
      </c>
      <c r="D9" s="39" t="s">
        <v>60</v>
      </c>
      <c r="E9" s="41" t="s">
        <v>65</v>
      </c>
      <c r="F9" s="41" t="s">
        <v>143</v>
      </c>
      <c r="G9" s="203" t="s">
        <v>146</v>
      </c>
      <c r="H9" s="45"/>
      <c r="I9" s="45">
        <f>+C28</f>
        <v>3200000</v>
      </c>
      <c r="J9" s="45"/>
      <c r="K9" s="42"/>
    </row>
    <row r="10" spans="1:11" x14ac:dyDescent="0.2">
      <c r="A10" s="36" t="s">
        <v>36</v>
      </c>
      <c r="B10" s="39" t="s">
        <v>84</v>
      </c>
      <c r="C10" s="39" t="s">
        <v>58</v>
      </c>
      <c r="D10" s="39" t="s">
        <v>60</v>
      </c>
      <c r="E10" s="41" t="s">
        <v>66</v>
      </c>
      <c r="F10" s="41" t="s">
        <v>143</v>
      </c>
      <c r="G10" s="203" t="s">
        <v>146</v>
      </c>
      <c r="H10" s="45"/>
      <c r="I10" s="45">
        <f>+C29</f>
        <v>3200000</v>
      </c>
      <c r="J10" s="45"/>
      <c r="K10" s="42"/>
    </row>
    <row r="11" spans="1:11" x14ac:dyDescent="0.2">
      <c r="A11" s="36" t="s">
        <v>36</v>
      </c>
      <c r="B11" s="39" t="s">
        <v>84</v>
      </c>
      <c r="C11" s="39" t="s">
        <v>58</v>
      </c>
      <c r="D11" s="41" t="s">
        <v>60</v>
      </c>
      <c r="E11" s="41" t="s">
        <v>67</v>
      </c>
      <c r="F11" s="41" t="s">
        <v>143</v>
      </c>
      <c r="G11" s="203" t="s">
        <v>146</v>
      </c>
      <c r="H11" s="45"/>
      <c r="I11" s="45">
        <f>+C30+C31</f>
        <v>6400000</v>
      </c>
      <c r="J11" s="45"/>
      <c r="K11" s="42"/>
    </row>
    <row r="12" spans="1:11" ht="13.5" thickBot="1" x14ac:dyDescent="0.25">
      <c r="A12" s="98" t="s">
        <v>36</v>
      </c>
      <c r="B12" s="99" t="s">
        <v>84</v>
      </c>
      <c r="C12" s="99" t="s">
        <v>58</v>
      </c>
      <c r="D12" s="99" t="s">
        <v>59</v>
      </c>
      <c r="E12" s="99" t="s">
        <v>62</v>
      </c>
      <c r="F12" s="99" t="s">
        <v>143</v>
      </c>
      <c r="G12" s="211" t="s">
        <v>146</v>
      </c>
      <c r="H12" s="46"/>
      <c r="I12" s="46">
        <f>+B18</f>
        <v>3200000000</v>
      </c>
      <c r="J12" s="46"/>
      <c r="K12" s="14"/>
    </row>
    <row r="13" spans="1:11" ht="13.5" thickTop="1" x14ac:dyDescent="0.2"/>
    <row r="14" spans="1:11" x14ac:dyDescent="0.2">
      <c r="A14" s="77" t="s">
        <v>40</v>
      </c>
      <c r="B14" s="68" t="s">
        <v>132</v>
      </c>
      <c r="K14" s="47"/>
    </row>
    <row r="15" spans="1:11" x14ac:dyDescent="0.2">
      <c r="A15" s="77" t="s">
        <v>75</v>
      </c>
      <c r="B15" s="189" t="s">
        <v>77</v>
      </c>
      <c r="H15" s="47"/>
      <c r="J15" s="47"/>
    </row>
    <row r="16" spans="1:11" x14ac:dyDescent="0.2">
      <c r="A16" s="77" t="s">
        <v>76</v>
      </c>
      <c r="B16" s="189" t="s">
        <v>78</v>
      </c>
      <c r="H16" s="47"/>
    </row>
    <row r="17" spans="1:10" x14ac:dyDescent="0.2">
      <c r="A17" s="77" t="s">
        <v>94</v>
      </c>
      <c r="B17" s="160">
        <v>10000000</v>
      </c>
      <c r="C17" s="90"/>
    </row>
    <row r="18" spans="1:10" x14ac:dyDescent="0.2">
      <c r="A18" s="77" t="s">
        <v>93</v>
      </c>
      <c r="B18" s="160">
        <v>3200000000</v>
      </c>
      <c r="C18" s="90"/>
    </row>
    <row r="19" spans="1:10" x14ac:dyDescent="0.2">
      <c r="A19" s="77" t="s">
        <v>91</v>
      </c>
      <c r="B19" s="82">
        <v>325</v>
      </c>
      <c r="C19" s="48"/>
      <c r="D19" s="90"/>
      <c r="E19" s="48"/>
      <c r="F19" s="48"/>
      <c r="G19" s="48"/>
    </row>
    <row r="20" spans="1:10" x14ac:dyDescent="0.2">
      <c r="A20" s="77" t="s">
        <v>85</v>
      </c>
      <c r="B20" s="160" t="s">
        <v>71</v>
      </c>
      <c r="C20" s="48"/>
      <c r="D20" s="57"/>
      <c r="E20" s="90"/>
      <c r="F20" s="90"/>
      <c r="G20" s="90"/>
      <c r="H20" s="47"/>
    </row>
    <row r="21" spans="1:10" x14ac:dyDescent="0.2">
      <c r="A21" s="77" t="s">
        <v>77</v>
      </c>
      <c r="B21" s="91">
        <v>5.0000000000000001E-4</v>
      </c>
      <c r="C21" s="48"/>
      <c r="D21" s="57"/>
      <c r="E21" s="90"/>
      <c r="F21" s="90"/>
      <c r="G21" s="90"/>
      <c r="H21" s="47"/>
    </row>
    <row r="22" spans="1:10" x14ac:dyDescent="0.2">
      <c r="A22" s="77" t="s">
        <v>79</v>
      </c>
      <c r="B22" s="91">
        <v>2E-3</v>
      </c>
      <c r="C22" s="48"/>
      <c r="D22" s="57"/>
      <c r="E22" s="90"/>
      <c r="F22" s="90"/>
      <c r="G22" s="90"/>
      <c r="H22" s="47"/>
    </row>
    <row r="23" spans="1:10" ht="13.5" thickBot="1" x14ac:dyDescent="0.25">
      <c r="A23" s="47"/>
      <c r="E23" s="47"/>
      <c r="F23" s="47"/>
      <c r="G23" s="47"/>
    </row>
    <row r="24" spans="1:10" x14ac:dyDescent="0.2">
      <c r="A24" s="254" t="s">
        <v>92</v>
      </c>
      <c r="B24" s="252" t="s">
        <v>133</v>
      </c>
      <c r="C24" s="253"/>
      <c r="H24" s="47"/>
      <c r="I24" s="47"/>
      <c r="J24" s="47"/>
    </row>
    <row r="25" spans="1:10" ht="13.5" thickBot="1" x14ac:dyDescent="0.25">
      <c r="A25" s="255"/>
      <c r="B25" s="94" t="s">
        <v>80</v>
      </c>
      <c r="C25" s="95" t="s">
        <v>81</v>
      </c>
      <c r="H25" s="47"/>
    </row>
    <row r="26" spans="1:10" x14ac:dyDescent="0.2">
      <c r="A26" s="92">
        <v>0.5</v>
      </c>
      <c r="B26" s="86">
        <f>10000000*(B21/2)</f>
        <v>2500</v>
      </c>
      <c r="C26" s="87">
        <f>3200000000*(B22/2+20/10000/2)</f>
        <v>6400000</v>
      </c>
      <c r="H26" s="33"/>
    </row>
    <row r="27" spans="1:10" x14ac:dyDescent="0.2">
      <c r="A27" s="92">
        <v>1</v>
      </c>
      <c r="B27" s="86"/>
      <c r="C27" s="111">
        <f>3200000000*(0.002/2)</f>
        <v>3200000</v>
      </c>
      <c r="H27" s="33"/>
    </row>
    <row r="28" spans="1:10" x14ac:dyDescent="0.2">
      <c r="A28" s="92">
        <v>1.5</v>
      </c>
      <c r="B28" s="86"/>
      <c r="C28" s="111">
        <f>3200000000*(0.002/2)</f>
        <v>3200000</v>
      </c>
      <c r="H28" s="33"/>
    </row>
    <row r="29" spans="1:10" x14ac:dyDescent="0.2">
      <c r="A29" s="92">
        <v>2</v>
      </c>
      <c r="B29" s="86"/>
      <c r="C29" s="111">
        <f>3200000000*(0.002/2)</f>
        <v>3200000</v>
      </c>
      <c r="H29" s="33"/>
    </row>
    <row r="30" spans="1:10" x14ac:dyDescent="0.2">
      <c r="A30" s="92">
        <v>2.5</v>
      </c>
      <c r="B30" s="86"/>
      <c r="C30" s="111">
        <f>3200000000*(0.002/2)</f>
        <v>3200000</v>
      </c>
      <c r="H30" s="33"/>
    </row>
    <row r="31" spans="1:10" ht="13.5" thickBot="1" x14ac:dyDescent="0.25">
      <c r="A31" s="93">
        <v>3</v>
      </c>
      <c r="B31" s="88"/>
      <c r="C31" s="112">
        <f>3200000000*(0.002/2)</f>
        <v>3200000</v>
      </c>
      <c r="H31" s="33"/>
    </row>
    <row r="32" spans="1:10" x14ac:dyDescent="0.2">
      <c r="J32" s="33"/>
    </row>
  </sheetData>
  <mergeCells count="2">
    <mergeCell ref="B24:C24"/>
    <mergeCell ref="A24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Tartalom</vt:lpstr>
      <vt:lpstr>9R1</vt:lpstr>
      <vt:lpstr>1_corp_loan</vt:lpstr>
      <vt:lpstr>2_mortg_float</vt:lpstr>
      <vt:lpstr>3_mortg_prep</vt:lpstr>
      <vt:lpstr>4_retail_nmd</vt:lpstr>
      <vt:lpstr>5_IRS</vt:lpstr>
      <vt:lpstr>6_CCIRS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 András</dc:creator>
  <cp:lastModifiedBy>Pintér Csilla</cp:lastModifiedBy>
  <dcterms:created xsi:type="dcterms:W3CDTF">2018-11-20T12:41:07Z</dcterms:created>
  <dcterms:modified xsi:type="dcterms:W3CDTF">2021-07-14T08:29:48Z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balogha@mnb.hu</vt:lpwstr>
  </property>
  <property fmtid="{D5CDD505-2E9C-101B-9397-08002B2CF9AE}" pid="5" name="MSIP_Label_b0d11092-50c9-4e74-84b5-b1af078dc3d0_SetDate">
    <vt:lpwstr>2018-11-20T12:41:32.5543203Z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2026-03-24T09:12:13Z</vt:filetime>
  </property>
  <property fmtid="{D5CDD505-2E9C-101B-9397-08002B2CF9AE}" pid="11" name="Érvényességet beállító">
    <vt:lpwstr>balogha</vt:lpwstr>
  </property>
  <property fmtid="{D5CDD505-2E9C-101B-9397-08002B2CF9AE}" pid="12" name="Érvényességi idő első beállítása">
    <vt:filetime>2021-03-24T09:12:13Z</vt:filetime>
  </property>
</Properties>
</file>