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showInkAnnotation="0" codeName="ThisWorkbook" defaultThemeVersion="124226"/>
  <bookViews>
    <workbookView xWindow="-15" yWindow="-15" windowWidth="8400" windowHeight="12690" tabRatio="944" activeTab="1"/>
  </bookViews>
  <sheets>
    <sheet name="P.Index" sheetId="41" r:id="rId1"/>
    <sheet name="Participant" sheetId="26" r:id="rId2"/>
    <sheet name="Állampapírok" sheetId="99" r:id="rId3"/>
    <sheet name="BS" sheetId="62" r:id="rId4"/>
    <sheet name="BS+" sheetId="65" r:id="rId5"/>
    <sheet name="SI" sheetId="64" r:id="rId6"/>
    <sheet name="Shared-2013" sheetId="61" r:id="rId7"/>
    <sheet name="BS-SI-Alap" sheetId="66" r:id="rId8"/>
    <sheet name="0. Alap" sheetId="86" r:id="rId9"/>
    <sheet name="1. Illeszkedési kiigazítás" sheetId="97" r:id="rId10"/>
    <sheet name="Részletek -1. illeszkedési kiig" sheetId="73" r:id="rId11"/>
    <sheet name="2. VA és TM" sheetId="98" r:id="rId12"/>
    <sheet name="Overview" sheetId="13" r:id="rId13"/>
  </sheets>
  <definedNames>
    <definedName name="_AllCountries">Participant!$O$24:$O$114</definedName>
    <definedName name="_EEACountries">Participant!$O$24:$O$54</definedName>
    <definedName name="_hasCurrentRFF">Participant!$G$16</definedName>
    <definedName name="_IsComposite">Participant!$G$15</definedName>
    <definedName name="_IsMutual">Participant!$G$10</definedName>
    <definedName name="_IsNetSCREstimated">Participant!$G$19</definedName>
    <definedName name="_ISO4217">Participant!$I$24:$I$97</definedName>
    <definedName name="_ISO4217_All">Participant!$Q$24:$Q$114</definedName>
    <definedName name="_ISO4217_EEA">Participant!$Q$24:$Q$54</definedName>
    <definedName name="_NonEEACountries">Participant!$O$55:$O$115</definedName>
    <definedName name="_SingleBS">Participant!$G$14</definedName>
    <definedName name="_TS_">P.Index!$F$23</definedName>
    <definedName name="_TSII_">P.Index!$F$24</definedName>
    <definedName name="_WithIMInformation" localSheetId="1">Participant!$G$18</definedName>
    <definedName name="Corr" localSheetId="8">'0. Alap'!$R$77:$V$81</definedName>
    <definedName name="Corr" localSheetId="9">'1. Illeszkedési kiigazítás'!$R$77:$V$81</definedName>
    <definedName name="Corr" localSheetId="11">'2. VA és TM'!$R$77:$V$81</definedName>
    <definedName name="CorrCounterparty" localSheetId="8">'0. Alap'!$R$112:$S$113</definedName>
    <definedName name="CorrCounterparty" localSheetId="9">'1. Illeszkedési kiigazítás'!$R$112:$S$113</definedName>
    <definedName name="CorrCounterparty" localSheetId="11">'2. VA és TM'!$R$112:$S$113</definedName>
    <definedName name="CorrHealth" localSheetId="8">'0. Alap'!$R$127:$T$129</definedName>
    <definedName name="CorrHealth" localSheetId="9">'1. Illeszkedési kiigazítás'!$R$127:$T$129</definedName>
    <definedName name="CorrHealth" localSheetId="11">'2. VA és TM'!$R$127:$T$129</definedName>
    <definedName name="CorrLife" localSheetId="8">'0. Alap'!$R$117:$X$123</definedName>
    <definedName name="CorrLife" localSheetId="9">'1. Illeszkedési kiigazítás'!$R$117:$X$123</definedName>
    <definedName name="CorrLife" localSheetId="11">'2. VA és TM'!$R$117:$X$123</definedName>
    <definedName name="CorrMkt" localSheetId="8">'0. Alap'!$R$102:$X$108</definedName>
    <definedName name="CorrMkt" localSheetId="9">'1. Illeszkedési kiigazítás'!$R$102:$X$108</definedName>
    <definedName name="CorrMkt" localSheetId="11">'2. VA és TM'!$R$102:$X$108</definedName>
    <definedName name="Devizanem">Participant!$P$6:$P$12</definedName>
    <definedName name="HealthNonSLT_lapse" localSheetId="8">'0. Alap'!$F$532</definedName>
    <definedName name="HealthNonSLT_lapse" localSheetId="9">'1. Illeszkedési kiigazítás'!$F$629</definedName>
    <definedName name="HealthNonSLT_lapse" localSheetId="11">'2. VA és TM'!$F$629</definedName>
    <definedName name="HealthNonSLT_pr" localSheetId="8">'0. Alap'!$F$470</definedName>
    <definedName name="HealthNonSLT_pr" localSheetId="9">'1. Illeszkedési kiigazítás'!$F$567</definedName>
    <definedName name="HealthNonSLT_pr" localSheetId="11">'2. VA és TM'!$F$567</definedName>
    <definedName name="_xlnm.Print_Titles" localSheetId="10">'Részletek -1. illeszkedési kiig'!$1:$3</definedName>
    <definedName name="_xlnm.Print_Area" localSheetId="8">'0. Alap'!$C$1:$N$339</definedName>
    <definedName name="_xlnm.Print_Area" localSheetId="9">'1. Illeszkedési kiigazítás'!$C$1:$N$339</definedName>
    <definedName name="_xlnm.Print_Area" localSheetId="11">'2. VA és TM'!$C$1:$N$339</definedName>
    <definedName name="_xlnm.Print_Area" localSheetId="3">BS!$C$1:$M$50</definedName>
    <definedName name="_xlnm.Print_Area" localSheetId="4">'BS+'!$C$1:$O$259</definedName>
    <definedName name="_xlnm.Print_Area" localSheetId="7">'BS-SI-Alap'!$C$1:$H$78</definedName>
    <definedName name="_xlnm.Print_Area" localSheetId="12">Overview!$A$1:$G$67</definedName>
    <definedName name="_xlnm.Print_Area" localSheetId="0">P.Index!$C$1:$I$23</definedName>
    <definedName name="_xlnm.Print_Area" localSheetId="1">Participant!$A$1:$E$36</definedName>
    <definedName name="_xlnm.Print_Area" localSheetId="10">'Részletek -1. illeszkedési kiig'!$C$1:$M$79</definedName>
    <definedName name="_xlnm.Print_Area" localSheetId="6">'Shared-2013'!$C$1:$I$159</definedName>
    <definedName name="_xlnm.Print_Area" localSheetId="5">SI!$C$1:$G$10</definedName>
    <definedName name="Version">P.Index!$I$2</definedName>
  </definedNames>
  <calcPr calcId="145621"/>
</workbook>
</file>

<file path=xl/calcChain.xml><?xml version="1.0" encoding="utf-8"?>
<calcChain xmlns="http://schemas.openxmlformats.org/spreadsheetml/2006/main">
  <c r="D2" i="99" l="1"/>
  <c r="H8" i="41"/>
  <c r="F2" i="99"/>
  <c r="F2" i="13"/>
  <c r="F111" i="86"/>
  <c r="H111" i="86"/>
  <c r="G111" i="86" s="1"/>
  <c r="J111" i="86"/>
  <c r="F7" i="13"/>
  <c r="F8" i="13"/>
  <c r="F60" i="13" s="1"/>
  <c r="E8" i="13"/>
  <c r="D8" i="13"/>
  <c r="D60" i="13" s="1"/>
  <c r="I2" i="98"/>
  <c r="I2" i="97"/>
  <c r="I2" i="86"/>
  <c r="E7" i="13"/>
  <c r="D7" i="13"/>
  <c r="E40" i="66"/>
  <c r="E39" i="66"/>
  <c r="E38" i="66"/>
  <c r="E36" i="66"/>
  <c r="E35" i="66"/>
  <c r="E10" i="66"/>
  <c r="E65" i="66"/>
  <c r="D6" i="13"/>
  <c r="E6" i="13"/>
  <c r="F6" i="13"/>
  <c r="D19" i="13"/>
  <c r="E19" i="13"/>
  <c r="F19" i="13"/>
  <c r="C36" i="13"/>
  <c r="E47" i="13"/>
  <c r="F47" i="13"/>
  <c r="D61" i="13"/>
  <c r="E61" i="13"/>
  <c r="F61" i="13"/>
  <c r="D62" i="13"/>
  <c r="E62" i="13"/>
  <c r="F62" i="13"/>
  <c r="D63" i="13"/>
  <c r="E63" i="13"/>
  <c r="F63" i="13"/>
  <c r="D64" i="13"/>
  <c r="E64" i="13"/>
  <c r="F64" i="13"/>
  <c r="D65" i="13"/>
  <c r="E65" i="13"/>
  <c r="F65" i="13"/>
  <c r="D66" i="13"/>
  <c r="E66" i="13"/>
  <c r="F66" i="13"/>
  <c r="D67" i="13"/>
  <c r="E67" i="13"/>
  <c r="F67" i="13"/>
  <c r="F2" i="73"/>
  <c r="M2" i="73"/>
  <c r="M4" i="73"/>
  <c r="I12" i="73"/>
  <c r="K12" i="73" s="1"/>
  <c r="O12" i="73"/>
  <c r="I13" i="73"/>
  <c r="K13" i="73" s="1"/>
  <c r="O13" i="73"/>
  <c r="I14" i="73"/>
  <c r="K14" i="73" s="1"/>
  <c r="O14" i="73"/>
  <c r="I15" i="73"/>
  <c r="K15" i="73" s="1"/>
  <c r="O15" i="73"/>
  <c r="I16" i="73"/>
  <c r="K16" i="73" s="1"/>
  <c r="O16" i="73"/>
  <c r="I17" i="73"/>
  <c r="K17" i="73" s="1"/>
  <c r="O17" i="73"/>
  <c r="I18" i="73"/>
  <c r="K18" i="73" s="1"/>
  <c r="O18" i="73"/>
  <c r="I19" i="73"/>
  <c r="K19" i="73" s="1"/>
  <c r="O19" i="73"/>
  <c r="I20" i="73"/>
  <c r="K20" i="73" s="1"/>
  <c r="O20" i="73"/>
  <c r="I21" i="73"/>
  <c r="K21" i="73" s="1"/>
  <c r="O21" i="73"/>
  <c r="N2" i="98"/>
  <c r="K4" i="98"/>
  <c r="M4" i="98"/>
  <c r="J5" i="98"/>
  <c r="Q5" i="98"/>
  <c r="J6" i="98"/>
  <c r="J7" i="98"/>
  <c r="D11" i="98"/>
  <c r="F10" i="13" s="1"/>
  <c r="G11" i="98"/>
  <c r="F20" i="13" s="1"/>
  <c r="H11" i="98"/>
  <c r="I11" i="98"/>
  <c r="F12" i="98"/>
  <c r="F13" i="98"/>
  <c r="F14" i="98"/>
  <c r="F15" i="98"/>
  <c r="F16" i="98"/>
  <c r="F17" i="98"/>
  <c r="D18" i="98"/>
  <c r="F12" i="13" s="1"/>
  <c r="M19" i="98"/>
  <c r="M20" i="98"/>
  <c r="M21" i="98" s="1"/>
  <c r="B29" i="98"/>
  <c r="B30" i="98"/>
  <c r="Q30" i="98"/>
  <c r="B31" i="98"/>
  <c r="B32" i="98"/>
  <c r="J32" i="98"/>
  <c r="I32" i="98" s="1"/>
  <c r="B33" i="98"/>
  <c r="D36" i="98"/>
  <c r="D63" i="98"/>
  <c r="N69" i="98"/>
  <c r="I70" i="98"/>
  <c r="F70" i="98" s="1"/>
  <c r="B71" i="98"/>
  <c r="F71" i="98"/>
  <c r="D71" i="98" s="1"/>
  <c r="D72" i="98"/>
  <c r="R75" i="98"/>
  <c r="S75" i="98"/>
  <c r="T75" i="98"/>
  <c r="U75" i="98"/>
  <c r="V75" i="98"/>
  <c r="B76" i="98"/>
  <c r="B77" i="98"/>
  <c r="P77" i="98"/>
  <c r="S77" i="98"/>
  <c r="T77" i="98"/>
  <c r="U77" i="98"/>
  <c r="V77" i="98"/>
  <c r="B78" i="98"/>
  <c r="T78" i="98"/>
  <c r="U78" i="98"/>
  <c r="V78" i="98"/>
  <c r="B79" i="98"/>
  <c r="U79" i="98"/>
  <c r="V79" i="98"/>
  <c r="V80" i="98"/>
  <c r="B81" i="98"/>
  <c r="D81" i="98"/>
  <c r="F82" i="98"/>
  <c r="F85" i="98"/>
  <c r="J85" i="98" s="1"/>
  <c r="H85" i="98" s="1"/>
  <c r="D97" i="98"/>
  <c r="R100" i="98"/>
  <c r="S100" i="98"/>
  <c r="T100" i="98"/>
  <c r="U100" i="98"/>
  <c r="V100" i="98"/>
  <c r="W100" i="98"/>
  <c r="X100" i="98"/>
  <c r="P102" i="98"/>
  <c r="V102" i="98"/>
  <c r="W102" i="98"/>
  <c r="X102" i="98"/>
  <c r="T103" i="98"/>
  <c r="U103" i="98"/>
  <c r="V103" i="98"/>
  <c r="W103" i="98"/>
  <c r="X103" i="98"/>
  <c r="U104" i="98"/>
  <c r="V104" i="98"/>
  <c r="W104" i="98"/>
  <c r="X104" i="98"/>
  <c r="V105" i="98"/>
  <c r="W105" i="98"/>
  <c r="X105" i="98"/>
  <c r="W106" i="98"/>
  <c r="X106" i="98"/>
  <c r="H107" i="98"/>
  <c r="J107" i="98"/>
  <c r="I107" i="98" s="1"/>
  <c r="X107" i="98"/>
  <c r="B111" i="98"/>
  <c r="F111" i="98"/>
  <c r="F80" i="98" s="1"/>
  <c r="G111" i="98"/>
  <c r="H111" i="98"/>
  <c r="H80" i="98" s="1"/>
  <c r="G80" i="98" s="1"/>
  <c r="I111" i="98"/>
  <c r="J111" i="98"/>
  <c r="J80" i="98" s="1"/>
  <c r="I80" i="98" s="1"/>
  <c r="I112" i="98"/>
  <c r="S112" i="98"/>
  <c r="I113" i="98"/>
  <c r="P113" i="98"/>
  <c r="B116" i="98"/>
  <c r="S117" i="98"/>
  <c r="T117" i="98"/>
  <c r="U117" i="98"/>
  <c r="V117" i="98"/>
  <c r="W117" i="98"/>
  <c r="X117" i="98"/>
  <c r="D118" i="98"/>
  <c r="P118" i="98"/>
  <c r="T118" i="98"/>
  <c r="U118" i="98"/>
  <c r="V118" i="98"/>
  <c r="W118" i="98"/>
  <c r="X118" i="98"/>
  <c r="U119" i="98"/>
  <c r="V119" i="98"/>
  <c r="W119" i="98"/>
  <c r="X119" i="98"/>
  <c r="V120" i="98"/>
  <c r="W120" i="98"/>
  <c r="X120" i="98"/>
  <c r="W121" i="98"/>
  <c r="X121" i="98"/>
  <c r="D122" i="98"/>
  <c r="X122" i="98"/>
  <c r="S127" i="98"/>
  <c r="T127" i="98"/>
  <c r="P128" i="98"/>
  <c r="T128" i="98"/>
  <c r="D131" i="98"/>
  <c r="S132" i="98"/>
  <c r="T132" i="98"/>
  <c r="I133" i="98"/>
  <c r="L133" i="98"/>
  <c r="P133" i="98"/>
  <c r="T133" i="98"/>
  <c r="B137" i="98"/>
  <c r="B138" i="98"/>
  <c r="J138" i="98"/>
  <c r="L138" i="98"/>
  <c r="K138" i="98" s="1"/>
  <c r="B139" i="98"/>
  <c r="J139" i="98"/>
  <c r="L139" i="98"/>
  <c r="K139" i="98" s="1"/>
  <c r="B141" i="98"/>
  <c r="B142" i="98"/>
  <c r="J142" i="98"/>
  <c r="J141" i="98" s="1"/>
  <c r="L142" i="98"/>
  <c r="S142" i="98"/>
  <c r="B143" i="98"/>
  <c r="J143" i="98"/>
  <c r="L143" i="98"/>
  <c r="K143" i="98" s="1"/>
  <c r="P143" i="98"/>
  <c r="J145" i="98"/>
  <c r="L145" i="98"/>
  <c r="J146" i="98"/>
  <c r="L146" i="98"/>
  <c r="K146" i="98" s="1"/>
  <c r="J147" i="98"/>
  <c r="H104" i="98" s="1"/>
  <c r="L147" i="98"/>
  <c r="J149" i="98"/>
  <c r="L149" i="98"/>
  <c r="J150" i="98"/>
  <c r="K150" i="98"/>
  <c r="L150" i="98"/>
  <c r="J153" i="98"/>
  <c r="L153" i="98"/>
  <c r="J154" i="98"/>
  <c r="L154" i="98"/>
  <c r="K154" i="98" s="1"/>
  <c r="B155" i="98"/>
  <c r="J156" i="98"/>
  <c r="L156" i="98"/>
  <c r="J157" i="98"/>
  <c r="L157" i="98"/>
  <c r="K157" i="98" s="1"/>
  <c r="K158" i="98"/>
  <c r="J159" i="98"/>
  <c r="H108" i="98" s="1"/>
  <c r="L159" i="98"/>
  <c r="J108" i="98" s="1"/>
  <c r="I108" i="98" s="1"/>
  <c r="D161" i="98"/>
  <c r="K164" i="98"/>
  <c r="J166" i="98"/>
  <c r="H117" i="98" s="1"/>
  <c r="L166" i="98"/>
  <c r="J167" i="98"/>
  <c r="H118" i="98" s="1"/>
  <c r="K167" i="98"/>
  <c r="L167" i="98"/>
  <c r="J118" i="98" s="1"/>
  <c r="I118" i="98" s="1"/>
  <c r="J168" i="98"/>
  <c r="H119" i="98" s="1"/>
  <c r="L168" i="98"/>
  <c r="J119" i="98" s="1"/>
  <c r="J171" i="98"/>
  <c r="L171" i="98"/>
  <c r="K171" i="98" s="1"/>
  <c r="J172" i="98"/>
  <c r="L172" i="98"/>
  <c r="K172" i="98" s="1"/>
  <c r="J173" i="98"/>
  <c r="K173" i="98"/>
  <c r="L173" i="98"/>
  <c r="J174" i="98"/>
  <c r="H121" i="98" s="1"/>
  <c r="L174" i="98"/>
  <c r="J175" i="98"/>
  <c r="H122" i="98" s="1"/>
  <c r="L175" i="98"/>
  <c r="J122" i="98" s="1"/>
  <c r="I122" i="98" s="1"/>
  <c r="J176" i="98"/>
  <c r="H123" i="98" s="1"/>
  <c r="L176" i="98"/>
  <c r="D178" i="98"/>
  <c r="B182" i="98"/>
  <c r="J183" i="98"/>
  <c r="S183" i="98"/>
  <c r="T183" i="98"/>
  <c r="U183" i="98"/>
  <c r="V183" i="98"/>
  <c r="W183" i="98"/>
  <c r="T184" i="98"/>
  <c r="U184" i="98"/>
  <c r="V184" i="98"/>
  <c r="W184" i="98"/>
  <c r="U185" i="98"/>
  <c r="V185" i="98"/>
  <c r="W185" i="98"/>
  <c r="V186" i="98"/>
  <c r="W186" i="98"/>
  <c r="W187" i="98"/>
  <c r="B190" i="98"/>
  <c r="F191" i="98"/>
  <c r="H191" i="98"/>
  <c r="J191" i="98"/>
  <c r="J129" i="98" s="1"/>
  <c r="S191" i="98"/>
  <c r="I192" i="98"/>
  <c r="J192" i="98"/>
  <c r="I193" i="98"/>
  <c r="J193" i="98"/>
  <c r="I194" i="98"/>
  <c r="J194" i="98"/>
  <c r="K196" i="98"/>
  <c r="J198" i="98"/>
  <c r="H183" i="98" s="1"/>
  <c r="K198" i="98"/>
  <c r="L198" i="98"/>
  <c r="J199" i="98"/>
  <c r="H184" i="98" s="1"/>
  <c r="L199" i="98"/>
  <c r="J203" i="98"/>
  <c r="L203" i="98"/>
  <c r="J204" i="98"/>
  <c r="L204" i="98"/>
  <c r="K204" i="98" s="1"/>
  <c r="J205" i="98"/>
  <c r="L205" i="98"/>
  <c r="K205" i="98" s="1"/>
  <c r="J208" i="98"/>
  <c r="L208" i="98"/>
  <c r="K208" i="98" s="1"/>
  <c r="J209" i="98"/>
  <c r="L209" i="98"/>
  <c r="J207" i="98" s="1"/>
  <c r="J210" i="98"/>
  <c r="K210" i="98"/>
  <c r="L210" i="98"/>
  <c r="J211" i="98"/>
  <c r="H187" i="98" s="1"/>
  <c r="L211" i="98"/>
  <c r="J212" i="98"/>
  <c r="H188" i="98" s="1"/>
  <c r="L212" i="98"/>
  <c r="J188" i="98" s="1"/>
  <c r="B216" i="98"/>
  <c r="G222" i="98"/>
  <c r="S222" i="98"/>
  <c r="T222" i="98"/>
  <c r="U222" i="98"/>
  <c r="G223" i="98"/>
  <c r="P223" i="98"/>
  <c r="T223" i="98"/>
  <c r="U223" i="98"/>
  <c r="G224" i="98"/>
  <c r="U224" i="98"/>
  <c r="G225" i="98"/>
  <c r="D229" i="98"/>
  <c r="D231" i="98"/>
  <c r="B234" i="98"/>
  <c r="G240" i="98"/>
  <c r="S240" i="98"/>
  <c r="T240" i="98"/>
  <c r="U240" i="98"/>
  <c r="V240" i="98"/>
  <c r="W240" i="98"/>
  <c r="X240" i="98"/>
  <c r="Y240" i="98"/>
  <c r="Z240" i="98"/>
  <c r="AA240" i="98"/>
  <c r="AB240" i="98"/>
  <c r="AC240" i="98"/>
  <c r="G241" i="98"/>
  <c r="P241" i="98"/>
  <c r="T241" i="98"/>
  <c r="U241" i="98"/>
  <c r="V241" i="98"/>
  <c r="W241" i="98"/>
  <c r="X241" i="98"/>
  <c r="Y241" i="98"/>
  <c r="Z241" i="98"/>
  <c r="AA241" i="98"/>
  <c r="AB241" i="98"/>
  <c r="AC241" i="98"/>
  <c r="G242" i="98"/>
  <c r="U242" i="98"/>
  <c r="V242" i="98"/>
  <c r="W242" i="98"/>
  <c r="X242" i="98"/>
  <c r="Y242" i="98"/>
  <c r="Z242" i="98"/>
  <c r="AA242" i="98"/>
  <c r="AB242" i="98"/>
  <c r="AC242" i="98"/>
  <c r="G243" i="98"/>
  <c r="V243" i="98"/>
  <c r="W243" i="98"/>
  <c r="X243" i="98"/>
  <c r="Y243" i="98"/>
  <c r="Z243" i="98"/>
  <c r="AA243" i="98"/>
  <c r="AB243" i="98"/>
  <c r="AC243" i="98"/>
  <c r="G244" i="98"/>
  <c r="W244" i="98"/>
  <c r="X244" i="98"/>
  <c r="Y244" i="98"/>
  <c r="Z244" i="98"/>
  <c r="AA244" i="98"/>
  <c r="AB244" i="98"/>
  <c r="AC244" i="98"/>
  <c r="G245" i="98"/>
  <c r="X245" i="98"/>
  <c r="Y245" i="98"/>
  <c r="Z245" i="98"/>
  <c r="AA245" i="98"/>
  <c r="AB245" i="98"/>
  <c r="AC245" i="98"/>
  <c r="G246" i="98"/>
  <c r="Y246" i="98"/>
  <c r="Z246" i="98"/>
  <c r="AA246" i="98"/>
  <c r="AB246" i="98"/>
  <c r="AC246" i="98"/>
  <c r="G247" i="98"/>
  <c r="Z247" i="98"/>
  <c r="AA247" i="98"/>
  <c r="AB247" i="98"/>
  <c r="AC247" i="98"/>
  <c r="G248" i="98"/>
  <c r="AA248" i="98"/>
  <c r="AB248" i="98"/>
  <c r="AC248" i="98"/>
  <c r="G249" i="98"/>
  <c r="AB249" i="98"/>
  <c r="AC249" i="98"/>
  <c r="G250" i="98"/>
  <c r="AC250" i="98"/>
  <c r="G251" i="98"/>
  <c r="H255" i="98"/>
  <c r="D255" i="98" s="1"/>
  <c r="D128" i="98" s="1"/>
  <c r="D259" i="98"/>
  <c r="F270" i="98"/>
  <c r="I278" i="98"/>
  <c r="L278" i="98"/>
  <c r="I279" i="98"/>
  <c r="L279" i="98"/>
  <c r="I280" i="98"/>
  <c r="L280" i="98"/>
  <c r="I281" i="98"/>
  <c r="L281" i="98"/>
  <c r="I282" i="98"/>
  <c r="L282" i="98"/>
  <c r="I283" i="98"/>
  <c r="L283" i="98"/>
  <c r="I284" i="98"/>
  <c r="L284" i="98"/>
  <c r="I285" i="98"/>
  <c r="L285" i="98"/>
  <c r="I286" i="98"/>
  <c r="L286" i="98"/>
  <c r="I287" i="98"/>
  <c r="L287" i="98"/>
  <c r="I288" i="98"/>
  <c r="L288" i="98"/>
  <c r="I289" i="98"/>
  <c r="L289" i="98"/>
  <c r="I290" i="98"/>
  <c r="L290" i="98"/>
  <c r="I291" i="98"/>
  <c r="L291" i="98"/>
  <c r="I292" i="98"/>
  <c r="L292" i="98"/>
  <c r="I293" i="98"/>
  <c r="L293" i="98"/>
  <c r="D306" i="98"/>
  <c r="G309" i="98"/>
  <c r="D341" i="98"/>
  <c r="F345" i="98"/>
  <c r="G345" i="98"/>
  <c r="H345" i="98"/>
  <c r="I345" i="98"/>
  <c r="J345" i="98"/>
  <c r="K345" i="98"/>
  <c r="L345" i="98"/>
  <c r="D348" i="98"/>
  <c r="D349" i="98"/>
  <c r="D350" i="98"/>
  <c r="D351" i="98"/>
  <c r="D352" i="98"/>
  <c r="D353" i="98"/>
  <c r="D354" i="98"/>
  <c r="D355" i="98"/>
  <c r="D356" i="98"/>
  <c r="D357" i="98"/>
  <c r="D358" i="98"/>
  <c r="D359" i="98"/>
  <c r="D360" i="98"/>
  <c r="D361" i="98"/>
  <c r="D362" i="98"/>
  <c r="D363" i="98"/>
  <c r="D364" i="98"/>
  <c r="D365" i="98"/>
  <c r="D366" i="98"/>
  <c r="D367" i="98"/>
  <c r="D368" i="98"/>
  <c r="D369" i="98"/>
  <c r="D370" i="98"/>
  <c r="D371" i="98"/>
  <c r="D372" i="98"/>
  <c r="D373" i="98"/>
  <c r="D374" i="98"/>
  <c r="D375" i="98"/>
  <c r="D376" i="98"/>
  <c r="D377" i="98"/>
  <c r="D378" i="98"/>
  <c r="D379" i="98"/>
  <c r="D380" i="98"/>
  <c r="D381" i="98"/>
  <c r="D382" i="98"/>
  <c r="D383" i="98"/>
  <c r="D384" i="98"/>
  <c r="D385" i="98"/>
  <c r="D386" i="98"/>
  <c r="D387" i="98"/>
  <c r="D388" i="98"/>
  <c r="D389" i="98"/>
  <c r="D390" i="98"/>
  <c r="D391" i="98"/>
  <c r="D392" i="98"/>
  <c r="D393" i="98"/>
  <c r="D394" i="98"/>
  <c r="D395" i="98"/>
  <c r="D396" i="98"/>
  <c r="D397" i="98"/>
  <c r="D398" i="98"/>
  <c r="D399" i="98"/>
  <c r="D400" i="98"/>
  <c r="D401" i="98"/>
  <c r="D402" i="98"/>
  <c r="D403" i="98"/>
  <c r="D404" i="98"/>
  <c r="D405" i="98"/>
  <c r="D406" i="98"/>
  <c r="D407" i="98"/>
  <c r="D408" i="98"/>
  <c r="D409" i="98"/>
  <c r="D410" i="98"/>
  <c r="D411" i="98"/>
  <c r="D412" i="98"/>
  <c r="D413" i="98"/>
  <c r="D414" i="98"/>
  <c r="D415" i="98"/>
  <c r="D416" i="98"/>
  <c r="D417" i="98"/>
  <c r="D418" i="98"/>
  <c r="D419" i="98"/>
  <c r="D420" i="98"/>
  <c r="D421" i="98"/>
  <c r="D422" i="98"/>
  <c r="D423" i="98"/>
  <c r="D424" i="98"/>
  <c r="D425" i="98"/>
  <c r="D426" i="98"/>
  <c r="D427" i="98"/>
  <c r="D428" i="98"/>
  <c r="D429" i="98"/>
  <c r="D430" i="98"/>
  <c r="D431" i="98"/>
  <c r="D432" i="98"/>
  <c r="D433" i="98"/>
  <c r="D434" i="98"/>
  <c r="D435" i="98"/>
  <c r="D436" i="98"/>
  <c r="D437" i="98"/>
  <c r="F441" i="98"/>
  <c r="G441" i="98"/>
  <c r="H441" i="98"/>
  <c r="D441" i="98"/>
  <c r="I441" i="98"/>
  <c r="D445" i="98"/>
  <c r="I445" i="98"/>
  <c r="L445" i="98"/>
  <c r="I446" i="98"/>
  <c r="D446" i="98" s="1"/>
  <c r="L446" i="98"/>
  <c r="I447" i="98"/>
  <c r="D447" i="98" s="1"/>
  <c r="L447" i="98"/>
  <c r="I448" i="98"/>
  <c r="D448" i="98" s="1"/>
  <c r="L448" i="98"/>
  <c r="D449" i="98"/>
  <c r="I449" i="98"/>
  <c r="L449" i="98"/>
  <c r="I450" i="98"/>
  <c r="D450" i="98" s="1"/>
  <c r="L450" i="98"/>
  <c r="I451" i="98"/>
  <c r="D451" i="98" s="1"/>
  <c r="L451" i="98"/>
  <c r="I452" i="98"/>
  <c r="D452" i="98" s="1"/>
  <c r="L452" i="98"/>
  <c r="D453" i="98"/>
  <c r="I453" i="98"/>
  <c r="L453" i="98"/>
  <c r="I454" i="98"/>
  <c r="D454" i="98" s="1"/>
  <c r="L454" i="98"/>
  <c r="I455" i="98"/>
  <c r="D455" i="98" s="1"/>
  <c r="L455" i="98"/>
  <c r="I456" i="98"/>
  <c r="D456" i="98" s="1"/>
  <c r="L456" i="98"/>
  <c r="D457" i="98"/>
  <c r="I457" i="98"/>
  <c r="L457" i="98"/>
  <c r="I458" i="98"/>
  <c r="D458" i="98" s="1"/>
  <c r="L458" i="98"/>
  <c r="I459" i="98"/>
  <c r="D459" i="98" s="1"/>
  <c r="L459" i="98"/>
  <c r="I460" i="98"/>
  <c r="D460" i="98" s="1"/>
  <c r="L460" i="98"/>
  <c r="D461" i="98"/>
  <c r="I461" i="98"/>
  <c r="L461" i="98"/>
  <c r="I462" i="98"/>
  <c r="D462" i="98" s="1"/>
  <c r="L462" i="98"/>
  <c r="I463" i="98"/>
  <c r="D463" i="98" s="1"/>
  <c r="L463" i="98"/>
  <c r="I464" i="98"/>
  <c r="D464" i="98" s="1"/>
  <c r="L464" i="98"/>
  <c r="D465" i="98"/>
  <c r="I465" i="98"/>
  <c r="L465" i="98"/>
  <c r="I466" i="98"/>
  <c r="D466" i="98" s="1"/>
  <c r="L466" i="98"/>
  <c r="I467" i="98"/>
  <c r="D467" i="98" s="1"/>
  <c r="L467" i="98"/>
  <c r="I468" i="98"/>
  <c r="D468" i="98" s="1"/>
  <c r="L468" i="98"/>
  <c r="D469" i="98"/>
  <c r="I469" i="98"/>
  <c r="L469" i="98"/>
  <c r="I470" i="98"/>
  <c r="D470" i="98" s="1"/>
  <c r="L470" i="98"/>
  <c r="I471" i="98"/>
  <c r="D471" i="98" s="1"/>
  <c r="L471" i="98"/>
  <c r="I472" i="98"/>
  <c r="D472" i="98" s="1"/>
  <c r="L472" i="98"/>
  <c r="D473" i="98"/>
  <c r="I473" i="98"/>
  <c r="L473" i="98"/>
  <c r="I474" i="98"/>
  <c r="D474" i="98" s="1"/>
  <c r="L474" i="98"/>
  <c r="I475" i="98"/>
  <c r="D475" i="98" s="1"/>
  <c r="L475" i="98"/>
  <c r="I476" i="98"/>
  <c r="D476" i="98" s="1"/>
  <c r="L476" i="98"/>
  <c r="D477" i="98"/>
  <c r="I477" i="98"/>
  <c r="L477" i="98"/>
  <c r="I478" i="98"/>
  <c r="D478" i="98" s="1"/>
  <c r="L478" i="98"/>
  <c r="I479" i="98"/>
  <c r="D479" i="98" s="1"/>
  <c r="L479" i="98"/>
  <c r="I480" i="98"/>
  <c r="D480" i="98" s="1"/>
  <c r="L480" i="98"/>
  <c r="D481" i="98"/>
  <c r="I481" i="98"/>
  <c r="L481" i="98"/>
  <c r="I482" i="98"/>
  <c r="D482" i="98" s="1"/>
  <c r="L482" i="98"/>
  <c r="I483" i="98"/>
  <c r="D483" i="98" s="1"/>
  <c r="L483" i="98"/>
  <c r="I484" i="98"/>
  <c r="D484" i="98" s="1"/>
  <c r="L484" i="98"/>
  <c r="D485" i="98"/>
  <c r="I485" i="98"/>
  <c r="L485" i="98"/>
  <c r="I486" i="98"/>
  <c r="D486" i="98" s="1"/>
  <c r="L486" i="98"/>
  <c r="I487" i="98"/>
  <c r="D487" i="98" s="1"/>
  <c r="L487" i="98"/>
  <c r="I488" i="98"/>
  <c r="D488" i="98" s="1"/>
  <c r="L488" i="98"/>
  <c r="D489" i="98"/>
  <c r="I489" i="98"/>
  <c r="L489" i="98"/>
  <c r="I490" i="98"/>
  <c r="D490" i="98" s="1"/>
  <c r="L490" i="98"/>
  <c r="I491" i="98"/>
  <c r="D491" i="98" s="1"/>
  <c r="L491" i="98"/>
  <c r="I492" i="98"/>
  <c r="D492" i="98" s="1"/>
  <c r="L492" i="98"/>
  <c r="D493" i="98"/>
  <c r="I493" i="98"/>
  <c r="L493" i="98"/>
  <c r="I494" i="98"/>
  <c r="D494" i="98" s="1"/>
  <c r="L494" i="98"/>
  <c r="I495" i="98"/>
  <c r="D495" i="98" s="1"/>
  <c r="L495" i="98"/>
  <c r="I496" i="98"/>
  <c r="D496" i="98" s="1"/>
  <c r="L496" i="98"/>
  <c r="D497" i="98"/>
  <c r="I497" i="98"/>
  <c r="L497" i="98"/>
  <c r="I498" i="98"/>
  <c r="D498" i="98" s="1"/>
  <c r="L498" i="98"/>
  <c r="I499" i="98"/>
  <c r="D499" i="98" s="1"/>
  <c r="L499" i="98"/>
  <c r="I500" i="98"/>
  <c r="D500" i="98" s="1"/>
  <c r="L500" i="98"/>
  <c r="D501" i="98"/>
  <c r="I501" i="98"/>
  <c r="L501" i="98"/>
  <c r="I502" i="98"/>
  <c r="D502" i="98" s="1"/>
  <c r="L502" i="98"/>
  <c r="I503" i="98"/>
  <c r="D503" i="98" s="1"/>
  <c r="L503" i="98"/>
  <c r="I504" i="98"/>
  <c r="D504" i="98" s="1"/>
  <c r="L504" i="98"/>
  <c r="D505" i="98"/>
  <c r="I505" i="98"/>
  <c r="L505" i="98"/>
  <c r="I506" i="98"/>
  <c r="D506" i="98" s="1"/>
  <c r="L506" i="98"/>
  <c r="I507" i="98"/>
  <c r="D507" i="98" s="1"/>
  <c r="L507" i="98"/>
  <c r="I508" i="98"/>
  <c r="D508" i="98" s="1"/>
  <c r="L508" i="98"/>
  <c r="D509" i="98"/>
  <c r="I509" i="98"/>
  <c r="L509" i="98"/>
  <c r="I510" i="98"/>
  <c r="D510" i="98" s="1"/>
  <c r="L510" i="98"/>
  <c r="I511" i="98"/>
  <c r="D511" i="98" s="1"/>
  <c r="L511" i="98"/>
  <c r="I512" i="98"/>
  <c r="D512" i="98" s="1"/>
  <c r="L512" i="98"/>
  <c r="D513" i="98"/>
  <c r="I513" i="98"/>
  <c r="L513" i="98"/>
  <c r="I514" i="98"/>
  <c r="D514" i="98" s="1"/>
  <c r="L514" i="98"/>
  <c r="I515" i="98"/>
  <c r="D515" i="98" s="1"/>
  <c r="L515" i="98"/>
  <c r="I516" i="98"/>
  <c r="D516" i="98" s="1"/>
  <c r="L516" i="98"/>
  <c r="D517" i="98"/>
  <c r="I517" i="98"/>
  <c r="L517" i="98"/>
  <c r="I518" i="98"/>
  <c r="D518" i="98" s="1"/>
  <c r="L518" i="98"/>
  <c r="I519" i="98"/>
  <c r="D519" i="98" s="1"/>
  <c r="L519" i="98"/>
  <c r="I520" i="98"/>
  <c r="D520" i="98" s="1"/>
  <c r="L520" i="98"/>
  <c r="D521" i="98"/>
  <c r="I521" i="98"/>
  <c r="L521" i="98"/>
  <c r="I522" i="98"/>
  <c r="D522" i="98" s="1"/>
  <c r="L522" i="98"/>
  <c r="I523" i="98"/>
  <c r="D523" i="98" s="1"/>
  <c r="L523" i="98"/>
  <c r="I524" i="98"/>
  <c r="D524" i="98" s="1"/>
  <c r="L524" i="98"/>
  <c r="D525" i="98"/>
  <c r="I525" i="98"/>
  <c r="L525" i="98"/>
  <c r="I526" i="98"/>
  <c r="D526" i="98" s="1"/>
  <c r="L526" i="98"/>
  <c r="I527" i="98"/>
  <c r="D527" i="98" s="1"/>
  <c r="L527" i="98"/>
  <c r="I528" i="98"/>
  <c r="D528" i="98" s="1"/>
  <c r="L528" i="98"/>
  <c r="D529" i="98"/>
  <c r="I529" i="98"/>
  <c r="L529" i="98"/>
  <c r="I530" i="98"/>
  <c r="D530" i="98" s="1"/>
  <c r="L530" i="98"/>
  <c r="I531" i="98"/>
  <c r="D531" i="98" s="1"/>
  <c r="L531" i="98"/>
  <c r="I532" i="98"/>
  <c r="D532" i="98" s="1"/>
  <c r="L532" i="98"/>
  <c r="D533" i="98"/>
  <c r="I533" i="98"/>
  <c r="L533" i="98"/>
  <c r="I534" i="98"/>
  <c r="D534" i="98" s="1"/>
  <c r="L534" i="98"/>
  <c r="N2" i="97"/>
  <c r="K4" i="97"/>
  <c r="M4" i="97"/>
  <c r="J5" i="97"/>
  <c r="Q5" i="97"/>
  <c r="J6" i="97"/>
  <c r="J7" i="97"/>
  <c r="D11" i="97"/>
  <c r="E10" i="13" s="1"/>
  <c r="G11" i="97"/>
  <c r="E20" i="13" s="1"/>
  <c r="H11" i="97"/>
  <c r="E18" i="13" s="1"/>
  <c r="I11" i="97"/>
  <c r="F12" i="97"/>
  <c r="F13" i="97"/>
  <c r="F14" i="97"/>
  <c r="F15" i="97"/>
  <c r="F16" i="97"/>
  <c r="F17" i="97"/>
  <c r="D18" i="97"/>
  <c r="E12" i="13" s="1"/>
  <c r="M19" i="97"/>
  <c r="M20" i="97"/>
  <c r="M21" i="97"/>
  <c r="B29" i="97"/>
  <c r="B30" i="97"/>
  <c r="Q30" i="97"/>
  <c r="B31" i="97"/>
  <c r="B32" i="97"/>
  <c r="I32" i="97"/>
  <c r="J32" i="97"/>
  <c r="B33" i="97"/>
  <c r="D36" i="97"/>
  <c r="D63" i="97"/>
  <c r="N69" i="97"/>
  <c r="I70" i="97"/>
  <c r="F70" i="97" s="1"/>
  <c r="B71" i="97"/>
  <c r="D71" i="97"/>
  <c r="F71" i="97"/>
  <c r="D72" i="97"/>
  <c r="R75" i="97"/>
  <c r="S75" i="97"/>
  <c r="T75" i="97"/>
  <c r="U75" i="97"/>
  <c r="V75" i="97"/>
  <c r="B76" i="97"/>
  <c r="B77" i="97"/>
  <c r="P77" i="97"/>
  <c r="S77" i="97"/>
  <c r="T77" i="97"/>
  <c r="U77" i="97"/>
  <c r="V77" i="97"/>
  <c r="B78" i="97"/>
  <c r="T78" i="97"/>
  <c r="U78" i="97"/>
  <c r="V78" i="97"/>
  <c r="B79" i="97"/>
  <c r="U79" i="97"/>
  <c r="V79" i="97"/>
  <c r="V80" i="97"/>
  <c r="B81" i="97"/>
  <c r="D81" i="97"/>
  <c r="F82" i="97"/>
  <c r="F85" i="97"/>
  <c r="J85" i="97" s="1"/>
  <c r="H85" i="97" s="1"/>
  <c r="D97" i="97"/>
  <c r="R100" i="97"/>
  <c r="S100" i="97"/>
  <c r="T100" i="97"/>
  <c r="U100" i="97"/>
  <c r="V100" i="97"/>
  <c r="W100" i="97"/>
  <c r="X100" i="97"/>
  <c r="P102" i="97"/>
  <c r="V102" i="97"/>
  <c r="W102" i="97"/>
  <c r="X102" i="97"/>
  <c r="T103" i="97"/>
  <c r="U103" i="97"/>
  <c r="V103" i="97"/>
  <c r="W103" i="97"/>
  <c r="X103" i="97"/>
  <c r="U104" i="97"/>
  <c r="V104" i="97"/>
  <c r="W104" i="97"/>
  <c r="X104" i="97"/>
  <c r="V105" i="97"/>
  <c r="W105" i="97"/>
  <c r="X105" i="97"/>
  <c r="W106" i="97"/>
  <c r="X106" i="97"/>
  <c r="H107" i="97"/>
  <c r="J107" i="97"/>
  <c r="X107" i="97"/>
  <c r="B111" i="97"/>
  <c r="F111" i="97"/>
  <c r="F80" i="97" s="1"/>
  <c r="H111" i="97"/>
  <c r="J111" i="97"/>
  <c r="I112" i="97"/>
  <c r="S112" i="97"/>
  <c r="I113" i="97"/>
  <c r="P113" i="97"/>
  <c r="B116" i="97"/>
  <c r="S117" i="97"/>
  <c r="T117" i="97"/>
  <c r="U117" i="97"/>
  <c r="V117" i="97"/>
  <c r="W117" i="97"/>
  <c r="X117" i="97"/>
  <c r="D118" i="97"/>
  <c r="P118" i="97"/>
  <c r="T118" i="97"/>
  <c r="U118" i="97"/>
  <c r="V118" i="97"/>
  <c r="W118" i="97"/>
  <c r="X118" i="97"/>
  <c r="U119" i="97"/>
  <c r="V119" i="97"/>
  <c r="W119" i="97"/>
  <c r="X119" i="97"/>
  <c r="V120" i="97"/>
  <c r="W120" i="97"/>
  <c r="X120" i="97"/>
  <c r="W121" i="97"/>
  <c r="X121" i="97"/>
  <c r="D122" i="97"/>
  <c r="X122" i="97"/>
  <c r="S127" i="97"/>
  <c r="T127" i="97"/>
  <c r="P128" i="97"/>
  <c r="T128" i="97"/>
  <c r="D131" i="97"/>
  <c r="S132" i="97"/>
  <c r="T132" i="97"/>
  <c r="I133" i="97"/>
  <c r="L133" i="97"/>
  <c r="P133" i="97"/>
  <c r="T133" i="97"/>
  <c r="B137" i="97"/>
  <c r="B138" i="97"/>
  <c r="J138" i="97"/>
  <c r="L138" i="97"/>
  <c r="B139" i="97"/>
  <c r="J139" i="97"/>
  <c r="L139" i="97"/>
  <c r="K139" i="97" s="1"/>
  <c r="B141" i="97"/>
  <c r="B142" i="97"/>
  <c r="J142" i="97"/>
  <c r="K142" i="97"/>
  <c r="L142" i="97"/>
  <c r="S142" i="97"/>
  <c r="B143" i="97"/>
  <c r="J143" i="97"/>
  <c r="L143" i="97"/>
  <c r="P143" i="97"/>
  <c r="J145" i="97"/>
  <c r="K145" i="97"/>
  <c r="L145" i="97"/>
  <c r="J146" i="97"/>
  <c r="J144" i="97" s="1"/>
  <c r="L146" i="97"/>
  <c r="J147" i="97"/>
  <c r="H104" i="97" s="1"/>
  <c r="L147" i="97"/>
  <c r="J104" i="97" s="1"/>
  <c r="I104" i="97" s="1"/>
  <c r="J149" i="97"/>
  <c r="K149" i="97"/>
  <c r="L149" i="97"/>
  <c r="J150" i="97"/>
  <c r="L150" i="97"/>
  <c r="J153" i="97"/>
  <c r="L153" i="97"/>
  <c r="K153" i="97" s="1"/>
  <c r="J154" i="97"/>
  <c r="L154" i="97"/>
  <c r="K154" i="97" s="1"/>
  <c r="B155" i="97"/>
  <c r="J156" i="97"/>
  <c r="L156" i="97"/>
  <c r="K156" i="97" s="1"/>
  <c r="J157" i="97"/>
  <c r="L157" i="97"/>
  <c r="K157" i="97" s="1"/>
  <c r="K158" i="97"/>
  <c r="J159" i="97"/>
  <c r="H108" i="97" s="1"/>
  <c r="L159" i="97"/>
  <c r="J108" i="97" s="1"/>
  <c r="D161" i="97"/>
  <c r="K164" i="97"/>
  <c r="J166" i="97"/>
  <c r="H117" i="97" s="1"/>
  <c r="L166" i="97"/>
  <c r="J117" i="97" s="1"/>
  <c r="J167" i="97"/>
  <c r="H118" i="97" s="1"/>
  <c r="L167" i="97"/>
  <c r="J118" i="97" s="1"/>
  <c r="I118" i="97" s="1"/>
  <c r="J168" i="97"/>
  <c r="H119" i="97" s="1"/>
  <c r="K168" i="97"/>
  <c r="L168" i="97"/>
  <c r="J119" i="97" s="1"/>
  <c r="I119" i="97" s="1"/>
  <c r="J171" i="97"/>
  <c r="L171" i="97"/>
  <c r="J172" i="97"/>
  <c r="L172" i="97"/>
  <c r="K172" i="97" s="1"/>
  <c r="J173" i="97"/>
  <c r="L173" i="97"/>
  <c r="K173" i="97" s="1"/>
  <c r="J174" i="97"/>
  <c r="H121" i="97" s="1"/>
  <c r="K174" i="97"/>
  <c r="L174" i="97"/>
  <c r="J121" i="97" s="1"/>
  <c r="I121" i="97" s="1"/>
  <c r="J175" i="97"/>
  <c r="H122" i="97" s="1"/>
  <c r="L175" i="97"/>
  <c r="J122" i="97" s="1"/>
  <c r="J176" i="97"/>
  <c r="H123" i="97" s="1"/>
  <c r="L176" i="97"/>
  <c r="J123" i="97" s="1"/>
  <c r="I123" i="97" s="1"/>
  <c r="D178" i="97"/>
  <c r="B182" i="97"/>
  <c r="S183" i="97"/>
  <c r="T183" i="97"/>
  <c r="U183" i="97"/>
  <c r="V183" i="97"/>
  <c r="W183" i="97"/>
  <c r="T184" i="97"/>
  <c r="U184" i="97"/>
  <c r="V184" i="97"/>
  <c r="W184" i="97"/>
  <c r="U185" i="97"/>
  <c r="V185" i="97"/>
  <c r="W185" i="97"/>
  <c r="V186" i="97"/>
  <c r="W186" i="97"/>
  <c r="W187" i="97"/>
  <c r="B190" i="97"/>
  <c r="F191" i="97"/>
  <c r="G191" i="97"/>
  <c r="H191" i="97"/>
  <c r="H129" i="97" s="1"/>
  <c r="S191" i="97"/>
  <c r="J192" i="97"/>
  <c r="J193" i="97"/>
  <c r="I193" i="97" s="1"/>
  <c r="J194" i="97"/>
  <c r="I194" i="97" s="1"/>
  <c r="K196" i="97"/>
  <c r="J198" i="97"/>
  <c r="H183" i="97" s="1"/>
  <c r="L198" i="97"/>
  <c r="J183" i="97" s="1"/>
  <c r="J199" i="97"/>
  <c r="H184" i="97" s="1"/>
  <c r="K199" i="97"/>
  <c r="L199" i="97"/>
  <c r="J184" i="97" s="1"/>
  <c r="I184" i="97" s="1"/>
  <c r="J203" i="97"/>
  <c r="L203" i="97"/>
  <c r="K203" i="97" s="1"/>
  <c r="J204" i="97"/>
  <c r="L204" i="97"/>
  <c r="K204" i="97" s="1"/>
  <c r="J205" i="97"/>
  <c r="K205" i="97"/>
  <c r="L205" i="97"/>
  <c r="J208" i="97"/>
  <c r="L208" i="97"/>
  <c r="J209" i="97"/>
  <c r="L209" i="97"/>
  <c r="K209" i="97" s="1"/>
  <c r="J210" i="97"/>
  <c r="L210" i="97"/>
  <c r="K210" i="97" s="1"/>
  <c r="J211" i="97"/>
  <c r="H187" i="97" s="1"/>
  <c r="K211" i="97"/>
  <c r="L211" i="97"/>
  <c r="J187" i="97" s="1"/>
  <c r="I187" i="97" s="1"/>
  <c r="J212" i="97"/>
  <c r="H188" i="97" s="1"/>
  <c r="L212" i="97"/>
  <c r="J188" i="97" s="1"/>
  <c r="B216" i="97"/>
  <c r="G222" i="97"/>
  <c r="S222" i="97"/>
  <c r="T222" i="97"/>
  <c r="U222" i="97"/>
  <c r="G223" i="97"/>
  <c r="P223" i="97"/>
  <c r="T223" i="97"/>
  <c r="U223" i="97"/>
  <c r="G224" i="97"/>
  <c r="U224" i="97"/>
  <c r="G225" i="97"/>
  <c r="D229" i="97"/>
  <c r="D231" i="97"/>
  <c r="B234" i="97"/>
  <c r="G240" i="97"/>
  <c r="S240" i="97"/>
  <c r="T240" i="97"/>
  <c r="U240" i="97"/>
  <c r="V240" i="97"/>
  <c r="W240" i="97"/>
  <c r="X240" i="97"/>
  <c r="Y240" i="97"/>
  <c r="Z240" i="97"/>
  <c r="AA240" i="97"/>
  <c r="AB240" i="97"/>
  <c r="AC240" i="97"/>
  <c r="G241" i="97"/>
  <c r="P241" i="97"/>
  <c r="T241" i="97"/>
  <c r="U241" i="97"/>
  <c r="V241" i="97"/>
  <c r="W241" i="97"/>
  <c r="X241" i="97"/>
  <c r="Y241" i="97"/>
  <c r="Z241" i="97"/>
  <c r="AA241" i="97"/>
  <c r="AB241" i="97"/>
  <c r="AC241" i="97"/>
  <c r="G242" i="97"/>
  <c r="U242" i="97"/>
  <c r="V242" i="97"/>
  <c r="W242" i="97"/>
  <c r="X242" i="97"/>
  <c r="Y242" i="97"/>
  <c r="Z242" i="97"/>
  <c r="AA242" i="97"/>
  <c r="AB242" i="97"/>
  <c r="AC242" i="97"/>
  <c r="G243" i="97"/>
  <c r="V243" i="97"/>
  <c r="W243" i="97"/>
  <c r="X243" i="97"/>
  <c r="Y243" i="97"/>
  <c r="Z243" i="97"/>
  <c r="AA243" i="97"/>
  <c r="AB243" i="97"/>
  <c r="AC243" i="97"/>
  <c r="G244" i="97"/>
  <c r="W244" i="97"/>
  <c r="X244" i="97"/>
  <c r="Y244" i="97"/>
  <c r="Z244" i="97"/>
  <c r="AA244" i="97"/>
  <c r="AB244" i="97"/>
  <c r="AC244" i="97"/>
  <c r="G245" i="97"/>
  <c r="X245" i="97"/>
  <c r="Y245" i="97"/>
  <c r="Z245" i="97"/>
  <c r="AA245" i="97"/>
  <c r="AB245" i="97"/>
  <c r="AC245" i="97"/>
  <c r="G246" i="97"/>
  <c r="Y246" i="97"/>
  <c r="Z246" i="97"/>
  <c r="AA246" i="97"/>
  <c r="AB246" i="97"/>
  <c r="AC246" i="97"/>
  <c r="G247" i="97"/>
  <c r="Z247" i="97"/>
  <c r="AA247" i="97"/>
  <c r="AB247" i="97"/>
  <c r="AC247" i="97"/>
  <c r="G248" i="97"/>
  <c r="AA248" i="97"/>
  <c r="AB248" i="97"/>
  <c r="AC248" i="97"/>
  <c r="G249" i="97"/>
  <c r="AB249" i="97"/>
  <c r="AC249" i="97"/>
  <c r="G250" i="97"/>
  <c r="AC250" i="97"/>
  <c r="G251" i="97"/>
  <c r="H255" i="97"/>
  <c r="D255" i="97" s="1"/>
  <c r="D128" i="97" s="1"/>
  <c r="D259" i="97"/>
  <c r="F270" i="97"/>
  <c r="I278" i="97"/>
  <c r="L278" i="97"/>
  <c r="I279" i="97"/>
  <c r="L279" i="97"/>
  <c r="I280" i="97"/>
  <c r="L280" i="97"/>
  <c r="I281" i="97"/>
  <c r="L281" i="97"/>
  <c r="I282" i="97"/>
  <c r="L282" i="97"/>
  <c r="I283" i="97"/>
  <c r="L283" i="97"/>
  <c r="I284" i="97"/>
  <c r="L284" i="97"/>
  <c r="I285" i="97"/>
  <c r="L285" i="97"/>
  <c r="I286" i="97"/>
  <c r="L286" i="97"/>
  <c r="I287" i="97"/>
  <c r="L287" i="97"/>
  <c r="I288" i="97"/>
  <c r="L288" i="97"/>
  <c r="I289" i="97"/>
  <c r="L289" i="97"/>
  <c r="I290" i="97"/>
  <c r="L290" i="97"/>
  <c r="I291" i="97"/>
  <c r="L291" i="97"/>
  <c r="I292" i="97"/>
  <c r="L292" i="97"/>
  <c r="I293" i="97"/>
  <c r="L293" i="97"/>
  <c r="D306" i="97"/>
  <c r="G309" i="97"/>
  <c r="D341" i="97"/>
  <c r="F345" i="97"/>
  <c r="G345" i="97"/>
  <c r="H345" i="97"/>
  <c r="I345" i="97"/>
  <c r="J345" i="97"/>
  <c r="K345" i="97"/>
  <c r="L345" i="97"/>
  <c r="D348" i="97"/>
  <c r="D349" i="97"/>
  <c r="D350" i="97"/>
  <c r="D351" i="97"/>
  <c r="D352" i="97"/>
  <c r="D353" i="97"/>
  <c r="D354" i="97"/>
  <c r="D355" i="97"/>
  <c r="D356" i="97"/>
  <c r="D357" i="97"/>
  <c r="D358" i="97"/>
  <c r="D359" i="97"/>
  <c r="D360" i="97"/>
  <c r="D361" i="97"/>
  <c r="D362" i="97"/>
  <c r="D363" i="97"/>
  <c r="D364" i="97"/>
  <c r="D365" i="97"/>
  <c r="D366" i="97"/>
  <c r="D367" i="97"/>
  <c r="D368" i="97"/>
  <c r="D369" i="97"/>
  <c r="D370" i="97"/>
  <c r="D371" i="97"/>
  <c r="D372" i="97"/>
  <c r="D373" i="97"/>
  <c r="D374" i="97"/>
  <c r="D375" i="97"/>
  <c r="D376" i="97"/>
  <c r="D377" i="97"/>
  <c r="D378" i="97"/>
  <c r="D379" i="97"/>
  <c r="D380" i="97"/>
  <c r="D381" i="97"/>
  <c r="D382" i="97"/>
  <c r="D383" i="97"/>
  <c r="D384" i="97"/>
  <c r="D385" i="97"/>
  <c r="D386" i="97"/>
  <c r="D387" i="97"/>
  <c r="D388" i="97"/>
  <c r="D389" i="97"/>
  <c r="D390" i="97"/>
  <c r="D391" i="97"/>
  <c r="D392" i="97"/>
  <c r="D393" i="97"/>
  <c r="D394" i="97"/>
  <c r="D395" i="97"/>
  <c r="D396" i="97"/>
  <c r="D397" i="97"/>
  <c r="D398" i="97"/>
  <c r="D399" i="97"/>
  <c r="D400" i="97"/>
  <c r="D401" i="97"/>
  <c r="D402" i="97"/>
  <c r="D403" i="97"/>
  <c r="D404" i="97"/>
  <c r="D405" i="97"/>
  <c r="D406" i="97"/>
  <c r="D407" i="97"/>
  <c r="D408" i="97"/>
  <c r="D409" i="97"/>
  <c r="D410" i="97"/>
  <c r="D411" i="97"/>
  <c r="D412" i="97"/>
  <c r="D413" i="97"/>
  <c r="D414" i="97"/>
  <c r="D415" i="97"/>
  <c r="D416" i="97"/>
  <c r="D417" i="97"/>
  <c r="D418" i="97"/>
  <c r="D419" i="97"/>
  <c r="D420" i="97"/>
  <c r="D421" i="97"/>
  <c r="D422" i="97"/>
  <c r="D423" i="97"/>
  <c r="D424" i="97"/>
  <c r="D425" i="97"/>
  <c r="D426" i="97"/>
  <c r="D427" i="97"/>
  <c r="D428" i="97"/>
  <c r="D429" i="97"/>
  <c r="D430" i="97"/>
  <c r="D431" i="97"/>
  <c r="D432" i="97"/>
  <c r="D433" i="97"/>
  <c r="D434" i="97"/>
  <c r="D435" i="97"/>
  <c r="D436" i="97"/>
  <c r="D437" i="97"/>
  <c r="F441" i="97"/>
  <c r="G441" i="97"/>
  <c r="H441" i="97"/>
  <c r="D441" i="97"/>
  <c r="I441" i="97"/>
  <c r="D445" i="97"/>
  <c r="I445" i="97"/>
  <c r="L445" i="97"/>
  <c r="I446" i="97"/>
  <c r="D446" i="97" s="1"/>
  <c r="L446" i="97"/>
  <c r="I447" i="97"/>
  <c r="D447" i="97" s="1"/>
  <c r="L447" i="97"/>
  <c r="I448" i="97"/>
  <c r="D448" i="97" s="1"/>
  <c r="L448" i="97"/>
  <c r="D449" i="97"/>
  <c r="I449" i="97"/>
  <c r="L449" i="97"/>
  <c r="I450" i="97"/>
  <c r="D450" i="97" s="1"/>
  <c r="L450" i="97"/>
  <c r="I451" i="97"/>
  <c r="D451" i="97" s="1"/>
  <c r="L451" i="97"/>
  <c r="I452" i="97"/>
  <c r="D452" i="97" s="1"/>
  <c r="L452" i="97"/>
  <c r="D453" i="97"/>
  <c r="I453" i="97"/>
  <c r="L453" i="97"/>
  <c r="I454" i="97"/>
  <c r="D454" i="97" s="1"/>
  <c r="L454" i="97"/>
  <c r="I455" i="97"/>
  <c r="D455" i="97" s="1"/>
  <c r="L455" i="97"/>
  <c r="I456" i="97"/>
  <c r="D456" i="97" s="1"/>
  <c r="L456" i="97"/>
  <c r="D457" i="97"/>
  <c r="I457" i="97"/>
  <c r="L457" i="97"/>
  <c r="I458" i="97"/>
  <c r="D458" i="97" s="1"/>
  <c r="L458" i="97"/>
  <c r="I459" i="97"/>
  <c r="D459" i="97" s="1"/>
  <c r="L459" i="97"/>
  <c r="I460" i="97"/>
  <c r="D460" i="97" s="1"/>
  <c r="L460" i="97"/>
  <c r="D461" i="97"/>
  <c r="I461" i="97"/>
  <c r="L461" i="97"/>
  <c r="I462" i="97"/>
  <c r="D462" i="97" s="1"/>
  <c r="L462" i="97"/>
  <c r="I463" i="97"/>
  <c r="D463" i="97" s="1"/>
  <c r="L463" i="97"/>
  <c r="I464" i="97"/>
  <c r="D464" i="97" s="1"/>
  <c r="L464" i="97"/>
  <c r="D465" i="97"/>
  <c r="I465" i="97"/>
  <c r="L465" i="97"/>
  <c r="I466" i="97"/>
  <c r="D466" i="97" s="1"/>
  <c r="L466" i="97"/>
  <c r="I467" i="97"/>
  <c r="D467" i="97" s="1"/>
  <c r="L467" i="97"/>
  <c r="I468" i="97"/>
  <c r="D468" i="97" s="1"/>
  <c r="L468" i="97"/>
  <c r="D469" i="97"/>
  <c r="I469" i="97"/>
  <c r="L469" i="97"/>
  <c r="I470" i="97"/>
  <c r="D470" i="97" s="1"/>
  <c r="L470" i="97"/>
  <c r="I471" i="97"/>
  <c r="D471" i="97" s="1"/>
  <c r="L471" i="97"/>
  <c r="I472" i="97"/>
  <c r="D472" i="97" s="1"/>
  <c r="L472" i="97"/>
  <c r="D473" i="97"/>
  <c r="I473" i="97"/>
  <c r="L473" i="97"/>
  <c r="I474" i="97"/>
  <c r="D474" i="97" s="1"/>
  <c r="L474" i="97"/>
  <c r="I475" i="97"/>
  <c r="D475" i="97" s="1"/>
  <c r="L475" i="97"/>
  <c r="I476" i="97"/>
  <c r="D476" i="97" s="1"/>
  <c r="L476" i="97"/>
  <c r="D477" i="97"/>
  <c r="I477" i="97"/>
  <c r="L477" i="97"/>
  <c r="I478" i="97"/>
  <c r="D478" i="97" s="1"/>
  <c r="L478" i="97"/>
  <c r="I479" i="97"/>
  <c r="D479" i="97" s="1"/>
  <c r="L479" i="97"/>
  <c r="I480" i="97"/>
  <c r="D480" i="97" s="1"/>
  <c r="L480" i="97"/>
  <c r="D481" i="97"/>
  <c r="I481" i="97"/>
  <c r="L481" i="97"/>
  <c r="I482" i="97"/>
  <c r="D482" i="97" s="1"/>
  <c r="L482" i="97"/>
  <c r="I483" i="97"/>
  <c r="D483" i="97" s="1"/>
  <c r="L483" i="97"/>
  <c r="I484" i="97"/>
  <c r="D484" i="97" s="1"/>
  <c r="L484" i="97"/>
  <c r="D485" i="97"/>
  <c r="I485" i="97"/>
  <c r="L485" i="97"/>
  <c r="I486" i="97"/>
  <c r="D486" i="97" s="1"/>
  <c r="L486" i="97"/>
  <c r="I487" i="97"/>
  <c r="D487" i="97" s="1"/>
  <c r="L487" i="97"/>
  <c r="I488" i="97"/>
  <c r="D488" i="97" s="1"/>
  <c r="L488" i="97"/>
  <c r="D489" i="97"/>
  <c r="I489" i="97"/>
  <c r="L489" i="97"/>
  <c r="I490" i="97"/>
  <c r="D490" i="97" s="1"/>
  <c r="L490" i="97"/>
  <c r="I491" i="97"/>
  <c r="D491" i="97" s="1"/>
  <c r="L491" i="97"/>
  <c r="I492" i="97"/>
  <c r="D492" i="97" s="1"/>
  <c r="L492" i="97"/>
  <c r="D493" i="97"/>
  <c r="I493" i="97"/>
  <c r="L493" i="97"/>
  <c r="I494" i="97"/>
  <c r="D494" i="97" s="1"/>
  <c r="L494" i="97"/>
  <c r="I495" i="97"/>
  <c r="D495" i="97" s="1"/>
  <c r="L495" i="97"/>
  <c r="I496" i="97"/>
  <c r="D496" i="97" s="1"/>
  <c r="L496" i="97"/>
  <c r="D497" i="97"/>
  <c r="I497" i="97"/>
  <c r="L497" i="97"/>
  <c r="I498" i="97"/>
  <c r="D498" i="97" s="1"/>
  <c r="L498" i="97"/>
  <c r="I499" i="97"/>
  <c r="D499" i="97" s="1"/>
  <c r="L499" i="97"/>
  <c r="I500" i="97"/>
  <c r="D500" i="97" s="1"/>
  <c r="L500" i="97"/>
  <c r="D501" i="97"/>
  <c r="I501" i="97"/>
  <c r="L501" i="97"/>
  <c r="I502" i="97"/>
  <c r="D502" i="97" s="1"/>
  <c r="L502" i="97"/>
  <c r="I503" i="97"/>
  <c r="D503" i="97" s="1"/>
  <c r="L503" i="97"/>
  <c r="I504" i="97"/>
  <c r="D504" i="97" s="1"/>
  <c r="L504" i="97"/>
  <c r="D505" i="97"/>
  <c r="I505" i="97"/>
  <c r="L505" i="97"/>
  <c r="I506" i="97"/>
  <c r="D506" i="97" s="1"/>
  <c r="L506" i="97"/>
  <c r="I507" i="97"/>
  <c r="D507" i="97" s="1"/>
  <c r="L507" i="97"/>
  <c r="I508" i="97"/>
  <c r="D508" i="97" s="1"/>
  <c r="L508" i="97"/>
  <c r="D509" i="97"/>
  <c r="I509" i="97"/>
  <c r="L509" i="97"/>
  <c r="I510" i="97"/>
  <c r="D510" i="97" s="1"/>
  <c r="L510" i="97"/>
  <c r="I511" i="97"/>
  <c r="D511" i="97" s="1"/>
  <c r="L511" i="97"/>
  <c r="I512" i="97"/>
  <c r="D512" i="97" s="1"/>
  <c r="L512" i="97"/>
  <c r="D513" i="97"/>
  <c r="I513" i="97"/>
  <c r="L513" i="97"/>
  <c r="I514" i="97"/>
  <c r="D514" i="97" s="1"/>
  <c r="L514" i="97"/>
  <c r="I515" i="97"/>
  <c r="D515" i="97" s="1"/>
  <c r="L515" i="97"/>
  <c r="I516" i="97"/>
  <c r="D516" i="97" s="1"/>
  <c r="L516" i="97"/>
  <c r="D517" i="97"/>
  <c r="I517" i="97"/>
  <c r="L517" i="97"/>
  <c r="I518" i="97"/>
  <c r="D518" i="97" s="1"/>
  <c r="L518" i="97"/>
  <c r="I519" i="97"/>
  <c r="D519" i="97" s="1"/>
  <c r="L519" i="97"/>
  <c r="I520" i="97"/>
  <c r="D520" i="97" s="1"/>
  <c r="L520" i="97"/>
  <c r="D521" i="97"/>
  <c r="I521" i="97"/>
  <c r="L521" i="97"/>
  <c r="I522" i="97"/>
  <c r="D522" i="97" s="1"/>
  <c r="L522" i="97"/>
  <c r="I523" i="97"/>
  <c r="D523" i="97" s="1"/>
  <c r="L523" i="97"/>
  <c r="I524" i="97"/>
  <c r="D524" i="97" s="1"/>
  <c r="L524" i="97"/>
  <c r="D525" i="97"/>
  <c r="I525" i="97"/>
  <c r="L525" i="97"/>
  <c r="I526" i="97"/>
  <c r="D526" i="97" s="1"/>
  <c r="L526" i="97"/>
  <c r="I527" i="97"/>
  <c r="D527" i="97" s="1"/>
  <c r="L527" i="97"/>
  <c r="I528" i="97"/>
  <c r="D528" i="97" s="1"/>
  <c r="L528" i="97"/>
  <c r="D529" i="97"/>
  <c r="I529" i="97"/>
  <c r="L529" i="97"/>
  <c r="I530" i="97"/>
  <c r="D530" i="97" s="1"/>
  <c r="L530" i="97"/>
  <c r="I531" i="97"/>
  <c r="D531" i="97" s="1"/>
  <c r="L531" i="97"/>
  <c r="I532" i="97"/>
  <c r="D532" i="97" s="1"/>
  <c r="L532" i="97"/>
  <c r="D533" i="97"/>
  <c r="I533" i="97"/>
  <c r="L533" i="97"/>
  <c r="I534" i="97"/>
  <c r="D534" i="97" s="1"/>
  <c r="L534" i="97"/>
  <c r="N2" i="86"/>
  <c r="K4" i="86"/>
  <c r="M4" i="86"/>
  <c r="J5" i="86"/>
  <c r="Q5" i="86"/>
  <c r="J6" i="86"/>
  <c r="J7" i="86"/>
  <c r="D11" i="86"/>
  <c r="G11" i="86"/>
  <c r="D20" i="13" s="1"/>
  <c r="H11" i="86"/>
  <c r="I11" i="86"/>
  <c r="F12" i="86"/>
  <c r="E54" i="66" s="1"/>
  <c r="F13" i="86"/>
  <c r="E55" i="66" s="1"/>
  <c r="F14" i="86"/>
  <c r="E56" i="66" s="1"/>
  <c r="F15" i="86"/>
  <c r="E57" i="66" s="1"/>
  <c r="F16" i="86"/>
  <c r="E58" i="66" s="1"/>
  <c r="F17" i="86"/>
  <c r="E59" i="66" s="1"/>
  <c r="D18" i="86"/>
  <c r="D12" i="13" s="1"/>
  <c r="M19" i="86"/>
  <c r="M20" i="86"/>
  <c r="M21" i="86"/>
  <c r="B29" i="86"/>
  <c r="B30" i="86"/>
  <c r="Q30" i="86"/>
  <c r="B31" i="86"/>
  <c r="B32" i="86"/>
  <c r="J32" i="86"/>
  <c r="I32" i="86" s="1"/>
  <c r="B33" i="86"/>
  <c r="D36" i="86"/>
  <c r="D63" i="86"/>
  <c r="N69" i="86"/>
  <c r="B70" i="86"/>
  <c r="I70" i="86"/>
  <c r="F70" i="86" s="1"/>
  <c r="F71" i="86"/>
  <c r="D71" i="86" s="1"/>
  <c r="D72" i="86"/>
  <c r="R75" i="86"/>
  <c r="S75" i="86"/>
  <c r="T75" i="86"/>
  <c r="U75" i="86"/>
  <c r="V75" i="86"/>
  <c r="B76" i="86"/>
  <c r="B77" i="86"/>
  <c r="P77" i="86"/>
  <c r="S77" i="86"/>
  <c r="T77" i="86"/>
  <c r="U77" i="86"/>
  <c r="V77" i="86"/>
  <c r="B78" i="86"/>
  <c r="T78" i="86"/>
  <c r="U78" i="86"/>
  <c r="V78" i="86"/>
  <c r="B79" i="86"/>
  <c r="U79" i="86"/>
  <c r="V79" i="86"/>
  <c r="J80" i="86"/>
  <c r="V80" i="86"/>
  <c r="B81" i="86"/>
  <c r="D81" i="86"/>
  <c r="F82" i="86"/>
  <c r="F85" i="86"/>
  <c r="J85" i="86"/>
  <c r="H85" i="86" s="1"/>
  <c r="D97" i="86"/>
  <c r="R100" i="86"/>
  <c r="S100" i="86"/>
  <c r="T100" i="86"/>
  <c r="U100" i="86"/>
  <c r="V100" i="86"/>
  <c r="W100" i="86"/>
  <c r="X100" i="86"/>
  <c r="P102" i="86"/>
  <c r="V102" i="86"/>
  <c r="W102" i="86"/>
  <c r="X102" i="86"/>
  <c r="T103" i="86"/>
  <c r="U103" i="86"/>
  <c r="V103" i="86"/>
  <c r="W103" i="86"/>
  <c r="X103" i="86"/>
  <c r="U104" i="86"/>
  <c r="V104" i="86"/>
  <c r="W104" i="86"/>
  <c r="X104" i="86"/>
  <c r="V105" i="86"/>
  <c r="W105" i="86"/>
  <c r="X105" i="86"/>
  <c r="W106" i="86"/>
  <c r="X106" i="86"/>
  <c r="H107" i="86"/>
  <c r="J107" i="86"/>
  <c r="X107" i="86"/>
  <c r="B111" i="86"/>
  <c r="F80" i="86"/>
  <c r="I112" i="86"/>
  <c r="S112" i="86"/>
  <c r="I113" i="86"/>
  <c r="P113" i="86"/>
  <c r="B116" i="86"/>
  <c r="S117" i="86"/>
  <c r="T117" i="86"/>
  <c r="U117" i="86"/>
  <c r="V117" i="86"/>
  <c r="W117" i="86"/>
  <c r="X117" i="86"/>
  <c r="D118" i="86"/>
  <c r="P118" i="86"/>
  <c r="T118" i="86"/>
  <c r="U118" i="86"/>
  <c r="V118" i="86"/>
  <c r="W118" i="86"/>
  <c r="X118" i="86"/>
  <c r="U119" i="86"/>
  <c r="V119" i="86"/>
  <c r="W119" i="86"/>
  <c r="X119" i="86"/>
  <c r="V120" i="86"/>
  <c r="W120" i="86"/>
  <c r="X120" i="86"/>
  <c r="W121" i="86"/>
  <c r="X121" i="86"/>
  <c r="D122" i="86"/>
  <c r="X122" i="86"/>
  <c r="S127" i="86"/>
  <c r="T127" i="86"/>
  <c r="P128" i="86"/>
  <c r="T128" i="86"/>
  <c r="D131" i="86"/>
  <c r="S132" i="86"/>
  <c r="T132" i="86"/>
  <c r="I133" i="86"/>
  <c r="L133" i="86"/>
  <c r="P133" i="86"/>
  <c r="T133" i="86"/>
  <c r="B137" i="86"/>
  <c r="B138" i="86"/>
  <c r="J138" i="86"/>
  <c r="L138" i="86"/>
  <c r="B139" i="86"/>
  <c r="J139" i="86"/>
  <c r="L139" i="86"/>
  <c r="K139" i="86" s="1"/>
  <c r="B141" i="86"/>
  <c r="B142" i="86"/>
  <c r="J142" i="86"/>
  <c r="L142" i="86"/>
  <c r="K142" i="86" s="1"/>
  <c r="S142" i="86"/>
  <c r="B143" i="86"/>
  <c r="J143" i="86"/>
  <c r="K143" i="86"/>
  <c r="L143" i="86"/>
  <c r="P143" i="86"/>
  <c r="J145" i="86"/>
  <c r="L145" i="86"/>
  <c r="L144" i="86" s="1"/>
  <c r="J146" i="86"/>
  <c r="K146" i="86"/>
  <c r="L146" i="86"/>
  <c r="J147" i="86"/>
  <c r="H104" i="86" s="1"/>
  <c r="L147" i="86"/>
  <c r="J104" i="86" s="1"/>
  <c r="J149" i="86"/>
  <c r="L149" i="86"/>
  <c r="J150" i="86"/>
  <c r="L150" i="86"/>
  <c r="K150" i="86" s="1"/>
  <c r="J153" i="86"/>
  <c r="L153" i="86"/>
  <c r="J152" i="86" s="1"/>
  <c r="J154" i="86"/>
  <c r="K154" i="86"/>
  <c r="L154" i="86"/>
  <c r="B155" i="86"/>
  <c r="J156" i="86"/>
  <c r="L156" i="86"/>
  <c r="L155" i="86" s="1"/>
  <c r="J157" i="86"/>
  <c r="K157" i="86"/>
  <c r="L157" i="86"/>
  <c r="K158" i="86"/>
  <c r="I107" i="86" s="1"/>
  <c r="J159" i="86"/>
  <c r="H108" i="86" s="1"/>
  <c r="K159" i="86"/>
  <c r="I108" i="86" s="1"/>
  <c r="L159" i="86"/>
  <c r="J108" i="86" s="1"/>
  <c r="D161" i="86"/>
  <c r="K164" i="86"/>
  <c r="J166" i="86"/>
  <c r="H117" i="86" s="1"/>
  <c r="L166" i="86"/>
  <c r="J117" i="86" s="1"/>
  <c r="J167" i="86"/>
  <c r="H118" i="86" s="1"/>
  <c r="L167" i="86"/>
  <c r="J118" i="86" s="1"/>
  <c r="I118" i="86" s="1"/>
  <c r="J168" i="86"/>
  <c r="H119" i="86" s="1"/>
  <c r="L168" i="86"/>
  <c r="K168" i="86" s="1"/>
  <c r="J171" i="86"/>
  <c r="K171" i="86"/>
  <c r="L171" i="86"/>
  <c r="J172" i="86"/>
  <c r="L172" i="86"/>
  <c r="J173" i="86"/>
  <c r="L173" i="86"/>
  <c r="K173" i="86" s="1"/>
  <c r="J174" i="86"/>
  <c r="H121" i="86" s="1"/>
  <c r="L174" i="86"/>
  <c r="J121" i="86" s="1"/>
  <c r="I121" i="86" s="1"/>
  <c r="J175" i="86"/>
  <c r="H122" i="86" s="1"/>
  <c r="K175" i="86"/>
  <c r="L175" i="86"/>
  <c r="J122" i="86" s="1"/>
  <c r="I122" i="86" s="1"/>
  <c r="J176" i="86"/>
  <c r="H123" i="86" s="1"/>
  <c r="L176" i="86"/>
  <c r="J123" i="86" s="1"/>
  <c r="D178" i="86"/>
  <c r="B182" i="86"/>
  <c r="S183" i="86"/>
  <c r="T183" i="86"/>
  <c r="U183" i="86"/>
  <c r="V183" i="86"/>
  <c r="W183" i="86"/>
  <c r="T184" i="86"/>
  <c r="U184" i="86"/>
  <c r="V184" i="86"/>
  <c r="W184" i="86"/>
  <c r="U185" i="86"/>
  <c r="V185" i="86"/>
  <c r="W185" i="86"/>
  <c r="V186" i="86"/>
  <c r="W186" i="86"/>
  <c r="W187" i="86"/>
  <c r="B190" i="86"/>
  <c r="F191" i="86"/>
  <c r="H191" i="86"/>
  <c r="H129" i="86" s="1"/>
  <c r="S191" i="86"/>
  <c r="J192" i="86"/>
  <c r="J191" i="86" s="1"/>
  <c r="J129" i="86" s="1"/>
  <c r="J193" i="86"/>
  <c r="I193" i="86" s="1"/>
  <c r="J194" i="86"/>
  <c r="I194" i="86" s="1"/>
  <c r="K196" i="86"/>
  <c r="J198" i="86"/>
  <c r="H183" i="86" s="1"/>
  <c r="L198" i="86"/>
  <c r="J183" i="86" s="1"/>
  <c r="J199" i="86"/>
  <c r="H184" i="86" s="1"/>
  <c r="L199" i="86"/>
  <c r="K199" i="86" s="1"/>
  <c r="J203" i="86"/>
  <c r="L203" i="86"/>
  <c r="J202" i="86" s="1"/>
  <c r="J204" i="86"/>
  <c r="K204" i="86"/>
  <c r="L204" i="86"/>
  <c r="J205" i="86"/>
  <c r="L205" i="86"/>
  <c r="J208" i="86"/>
  <c r="L208" i="86"/>
  <c r="K208" i="86" s="1"/>
  <c r="J209" i="86"/>
  <c r="L209" i="86"/>
  <c r="K209" i="86" s="1"/>
  <c r="J210" i="86"/>
  <c r="K210" i="86"/>
  <c r="L210" i="86"/>
  <c r="J211" i="86"/>
  <c r="H187" i="86" s="1"/>
  <c r="L211" i="86"/>
  <c r="J212" i="86"/>
  <c r="H188" i="86" s="1"/>
  <c r="L212" i="86"/>
  <c r="J188" i="86" s="1"/>
  <c r="I188" i="86" s="1"/>
  <c r="B216" i="86"/>
  <c r="G222" i="86"/>
  <c r="S222" i="86"/>
  <c r="T222" i="86"/>
  <c r="U222" i="86"/>
  <c r="G223" i="86"/>
  <c r="P223" i="86"/>
  <c r="T223" i="86"/>
  <c r="U223" i="86"/>
  <c r="G224" i="86"/>
  <c r="U224" i="86"/>
  <c r="G225" i="86"/>
  <c r="D229" i="86"/>
  <c r="D231" i="86"/>
  <c r="B234" i="86"/>
  <c r="G240" i="86"/>
  <c r="S240" i="86"/>
  <c r="T240" i="86"/>
  <c r="U240" i="86"/>
  <c r="V240" i="86"/>
  <c r="W240" i="86"/>
  <c r="X240" i="86"/>
  <c r="Y240" i="86"/>
  <c r="Z240" i="86"/>
  <c r="AA240" i="86"/>
  <c r="AB240" i="86"/>
  <c r="AC240" i="86"/>
  <c r="G241" i="86"/>
  <c r="P241" i="86"/>
  <c r="T241" i="86"/>
  <c r="U241" i="86"/>
  <c r="V241" i="86"/>
  <c r="W241" i="86"/>
  <c r="X241" i="86"/>
  <c r="Y241" i="86"/>
  <c r="Z241" i="86"/>
  <c r="AA241" i="86"/>
  <c r="AB241" i="86"/>
  <c r="AC241" i="86"/>
  <c r="G242" i="86"/>
  <c r="U242" i="86"/>
  <c r="V242" i="86"/>
  <c r="W242" i="86"/>
  <c r="X242" i="86"/>
  <c r="Y242" i="86"/>
  <c r="Z242" i="86"/>
  <c r="AA242" i="86"/>
  <c r="AB242" i="86"/>
  <c r="AC242" i="86"/>
  <c r="G243" i="86"/>
  <c r="V243" i="86"/>
  <c r="W243" i="86"/>
  <c r="X243" i="86"/>
  <c r="Y243" i="86"/>
  <c r="Z243" i="86"/>
  <c r="AA243" i="86"/>
  <c r="AB243" i="86"/>
  <c r="AC243" i="86"/>
  <c r="G244" i="86"/>
  <c r="W244" i="86"/>
  <c r="X244" i="86"/>
  <c r="Y244" i="86"/>
  <c r="Z244" i="86"/>
  <c r="AA244" i="86"/>
  <c r="AB244" i="86"/>
  <c r="AC244" i="86"/>
  <c r="G245" i="86"/>
  <c r="X245" i="86"/>
  <c r="Y245" i="86"/>
  <c r="Z245" i="86"/>
  <c r="AA245" i="86"/>
  <c r="AB245" i="86"/>
  <c r="AC245" i="86"/>
  <c r="G246" i="86"/>
  <c r="Y246" i="86"/>
  <c r="Z246" i="86"/>
  <c r="AA246" i="86"/>
  <c r="AB246" i="86"/>
  <c r="AC246" i="86"/>
  <c r="G247" i="86"/>
  <c r="Z247" i="86"/>
  <c r="AA247" i="86"/>
  <c r="AB247" i="86"/>
  <c r="AC247" i="86"/>
  <c r="G248" i="86"/>
  <c r="AA248" i="86"/>
  <c r="AB248" i="86"/>
  <c r="AC248" i="86"/>
  <c r="G249" i="86"/>
  <c r="AB249" i="86"/>
  <c r="AC249" i="86"/>
  <c r="G250" i="86"/>
  <c r="AC250" i="86"/>
  <c r="G251" i="86"/>
  <c r="H255" i="86"/>
  <c r="D255" i="86" s="1"/>
  <c r="D128" i="86" s="1"/>
  <c r="D259" i="86"/>
  <c r="F270" i="86"/>
  <c r="I278" i="86"/>
  <c r="L278" i="86"/>
  <c r="I279" i="86"/>
  <c r="L279" i="86"/>
  <c r="I280" i="86"/>
  <c r="L280" i="86"/>
  <c r="I281" i="86"/>
  <c r="L281" i="86"/>
  <c r="I282" i="86"/>
  <c r="L282" i="86"/>
  <c r="I283" i="86"/>
  <c r="L283" i="86"/>
  <c r="I284" i="86"/>
  <c r="L284" i="86"/>
  <c r="I285" i="86"/>
  <c r="L285" i="86"/>
  <c r="I286" i="86"/>
  <c r="L286" i="86"/>
  <c r="I287" i="86"/>
  <c r="L287" i="86"/>
  <c r="I288" i="86"/>
  <c r="L288" i="86"/>
  <c r="I289" i="86"/>
  <c r="L289" i="86"/>
  <c r="I290" i="86"/>
  <c r="L290" i="86"/>
  <c r="I291" i="86"/>
  <c r="L291" i="86"/>
  <c r="I292" i="86"/>
  <c r="L292" i="86"/>
  <c r="I293" i="86"/>
  <c r="L293" i="86"/>
  <c r="D306" i="86"/>
  <c r="G309" i="86"/>
  <c r="D341" i="86"/>
  <c r="F345" i="86"/>
  <c r="G345" i="86"/>
  <c r="H345" i="86"/>
  <c r="I345" i="86"/>
  <c r="J345" i="86"/>
  <c r="K345" i="86"/>
  <c r="L345" i="86"/>
  <c r="D348" i="86"/>
  <c r="D349" i="86"/>
  <c r="D350" i="86"/>
  <c r="D351" i="86"/>
  <c r="D352" i="86"/>
  <c r="D353" i="86"/>
  <c r="D354" i="86"/>
  <c r="D355" i="86"/>
  <c r="D356" i="86"/>
  <c r="D357" i="86"/>
  <c r="D358" i="86"/>
  <c r="D359" i="86"/>
  <c r="D360" i="86"/>
  <c r="D361" i="86"/>
  <c r="D362" i="86"/>
  <c r="D363" i="86"/>
  <c r="D364" i="86"/>
  <c r="D365" i="86"/>
  <c r="D366" i="86"/>
  <c r="D367" i="86"/>
  <c r="D368" i="86"/>
  <c r="D369" i="86"/>
  <c r="D370" i="86"/>
  <c r="D371" i="86"/>
  <c r="D372" i="86"/>
  <c r="D373" i="86"/>
  <c r="D374" i="86"/>
  <c r="D375" i="86"/>
  <c r="D376" i="86"/>
  <c r="D377" i="86"/>
  <c r="D378" i="86"/>
  <c r="D379" i="86"/>
  <c r="D380" i="86"/>
  <c r="D381" i="86"/>
  <c r="D382" i="86"/>
  <c r="D383" i="86"/>
  <c r="D384" i="86"/>
  <c r="D385" i="86"/>
  <c r="D386" i="86"/>
  <c r="D387" i="86"/>
  <c r="D388" i="86"/>
  <c r="D389" i="86"/>
  <c r="D390" i="86"/>
  <c r="D391" i="86"/>
  <c r="D392" i="86"/>
  <c r="D393" i="86"/>
  <c r="D394" i="86"/>
  <c r="D395" i="86"/>
  <c r="D396" i="86"/>
  <c r="D397" i="86"/>
  <c r="D398" i="86"/>
  <c r="D399" i="86"/>
  <c r="D400" i="86"/>
  <c r="D401" i="86"/>
  <c r="D402" i="86"/>
  <c r="D403" i="86"/>
  <c r="D404" i="86"/>
  <c r="D405" i="86"/>
  <c r="D406" i="86"/>
  <c r="D407" i="86"/>
  <c r="D408" i="86"/>
  <c r="D409" i="86"/>
  <c r="D410" i="86"/>
  <c r="D411" i="86"/>
  <c r="D412" i="86"/>
  <c r="D413" i="86"/>
  <c r="D414" i="86"/>
  <c r="D415" i="86"/>
  <c r="D416" i="86"/>
  <c r="D417" i="86"/>
  <c r="D418" i="86"/>
  <c r="D419" i="86"/>
  <c r="D420" i="86"/>
  <c r="D421" i="86"/>
  <c r="D422" i="86"/>
  <c r="D423" i="86"/>
  <c r="D424" i="86"/>
  <c r="D425" i="86"/>
  <c r="D426" i="86"/>
  <c r="D427" i="86"/>
  <c r="D428" i="86"/>
  <c r="D429" i="86"/>
  <c r="D430" i="86"/>
  <c r="D431" i="86"/>
  <c r="D432" i="86"/>
  <c r="D433" i="86"/>
  <c r="D434" i="86"/>
  <c r="D435" i="86"/>
  <c r="D436" i="86"/>
  <c r="D437" i="86"/>
  <c r="D439" i="86"/>
  <c r="D442" i="86"/>
  <c r="H2" i="66"/>
  <c r="H3" i="66"/>
  <c r="E9" i="66"/>
  <c r="E11" i="66"/>
  <c r="E12" i="66"/>
  <c r="E14" i="66"/>
  <c r="E15" i="66"/>
  <c r="G16" i="66"/>
  <c r="H16" i="66"/>
  <c r="E17" i="66"/>
  <c r="E18" i="66"/>
  <c r="G19" i="66"/>
  <c r="H19" i="66"/>
  <c r="E20" i="66"/>
  <c r="E21" i="66"/>
  <c r="E22" i="66"/>
  <c r="E23" i="66"/>
  <c r="E24" i="66"/>
  <c r="E25" i="66"/>
  <c r="E26" i="66"/>
  <c r="E27" i="66"/>
  <c r="E28" i="66"/>
  <c r="G29" i="66"/>
  <c r="H29" i="66"/>
  <c r="E30" i="66"/>
  <c r="E31" i="66"/>
  <c r="E32" i="66"/>
  <c r="G34" i="66"/>
  <c r="H34" i="66"/>
  <c r="G37" i="66"/>
  <c r="H37" i="66"/>
  <c r="E41" i="66"/>
  <c r="E42" i="66"/>
  <c r="E43" i="66"/>
  <c r="E44" i="66"/>
  <c r="E45" i="66"/>
  <c r="E46" i="66"/>
  <c r="E47" i="66"/>
  <c r="E48" i="66"/>
  <c r="E60" i="66"/>
  <c r="E61" i="66"/>
  <c r="E62" i="66"/>
  <c r="E63" i="66"/>
  <c r="E64" i="66"/>
  <c r="E66" i="66"/>
  <c r="E67" i="66"/>
  <c r="E68" i="66"/>
  <c r="E69" i="66"/>
  <c r="E70" i="66"/>
  <c r="E71" i="66"/>
  <c r="G72" i="66"/>
  <c r="H72" i="66"/>
  <c r="E73" i="66"/>
  <c r="J73" i="66"/>
  <c r="E74" i="66"/>
  <c r="J74" i="66" s="1"/>
  <c r="E75" i="66"/>
  <c r="G76" i="66"/>
  <c r="H76" i="66"/>
  <c r="I2" i="61"/>
  <c r="I3" i="61"/>
  <c r="F7" i="61"/>
  <c r="F11" i="61"/>
  <c r="D14" i="61"/>
  <c r="E16" i="66" s="1"/>
  <c r="F15" i="61"/>
  <c r="D17" i="61"/>
  <c r="E19" i="66" s="1"/>
  <c r="F19" i="61"/>
  <c r="F23" i="61"/>
  <c r="D27" i="61"/>
  <c r="E29" i="66" s="1"/>
  <c r="F27" i="61"/>
  <c r="D31" i="61"/>
  <c r="F43" i="61"/>
  <c r="E72" i="66" s="1"/>
  <c r="D51" i="61"/>
  <c r="F52" i="61"/>
  <c r="D56" i="61"/>
  <c r="D57" i="61"/>
  <c r="F64" i="61" s="1"/>
  <c r="D58" i="61"/>
  <c r="D59" i="61"/>
  <c r="D60" i="61"/>
  <c r="D61" i="61"/>
  <c r="F62" i="61"/>
  <c r="D62" i="61" s="1"/>
  <c r="D63" i="61"/>
  <c r="D65" i="61"/>
  <c r="D66" i="61"/>
  <c r="D67" i="61"/>
  <c r="G68" i="61"/>
  <c r="H68" i="61"/>
  <c r="I68" i="61"/>
  <c r="D71" i="61"/>
  <c r="D72" i="61"/>
  <c r="H73" i="61"/>
  <c r="I73" i="61"/>
  <c r="D74" i="61"/>
  <c r="H76" i="61"/>
  <c r="I76" i="61"/>
  <c r="B81" i="61"/>
  <c r="D81" i="61"/>
  <c r="B84" i="61"/>
  <c r="D84" i="61"/>
  <c r="B94" i="61"/>
  <c r="D94" i="61"/>
  <c r="D129" i="86" s="1"/>
  <c r="D101" i="61"/>
  <c r="D102" i="61"/>
  <c r="D103" i="61"/>
  <c r="D104" i="61"/>
  <c r="D105" i="61"/>
  <c r="D106" i="61"/>
  <c r="N245" i="86" s="1"/>
  <c r="D107" i="61"/>
  <c r="D108" i="61"/>
  <c r="D109" i="61"/>
  <c r="D110" i="61"/>
  <c r="N249" i="86" s="1"/>
  <c r="D111" i="61"/>
  <c r="D112" i="61"/>
  <c r="D115" i="61"/>
  <c r="D116" i="61"/>
  <c r="D117" i="61"/>
  <c r="D118" i="61"/>
  <c r="D119" i="61"/>
  <c r="D120" i="61"/>
  <c r="D121" i="61"/>
  <c r="D122" i="61"/>
  <c r="D123" i="61"/>
  <c r="D124" i="61"/>
  <c r="D125" i="61"/>
  <c r="D126" i="61"/>
  <c r="D131" i="61"/>
  <c r="D132" i="61"/>
  <c r="D133" i="61"/>
  <c r="H139" i="61" s="1"/>
  <c r="D134" i="61"/>
  <c r="C137" i="61"/>
  <c r="D137" i="61"/>
  <c r="H137" i="61"/>
  <c r="C138" i="61"/>
  <c r="D138" i="61"/>
  <c r="C139" i="61"/>
  <c r="D139" i="61"/>
  <c r="C140" i="61"/>
  <c r="D140" i="61"/>
  <c r="E2" i="64"/>
  <c r="G2" i="64"/>
  <c r="G3" i="64"/>
  <c r="E5" i="64"/>
  <c r="C52" i="13" s="1"/>
  <c r="G2" i="65"/>
  <c r="O2" i="65"/>
  <c r="M4" i="65"/>
  <c r="E9" i="65"/>
  <c r="F9" i="65"/>
  <c r="G9" i="65"/>
  <c r="H9" i="65"/>
  <c r="I9" i="65"/>
  <c r="J9" i="65"/>
  <c r="K9" i="65"/>
  <c r="L9" i="65"/>
  <c r="E29" i="65"/>
  <c r="E68" i="65"/>
  <c r="E69" i="65"/>
  <c r="E70" i="65"/>
  <c r="E71" i="65"/>
  <c r="E72" i="65"/>
  <c r="E73" i="65"/>
  <c r="E74" i="65"/>
  <c r="E75" i="65"/>
  <c r="E76" i="65"/>
  <c r="E77" i="65"/>
  <c r="E78" i="65"/>
  <c r="E79" i="65"/>
  <c r="E80" i="65"/>
  <c r="E84" i="65"/>
  <c r="E85" i="65"/>
  <c r="E86" i="65"/>
  <c r="E87" i="65"/>
  <c r="E88" i="65"/>
  <c r="E89" i="65"/>
  <c r="E90" i="65"/>
  <c r="E91" i="65"/>
  <c r="E92" i="65"/>
  <c r="E93" i="65"/>
  <c r="G95" i="65"/>
  <c r="H95" i="65"/>
  <c r="I95" i="65"/>
  <c r="J95" i="65"/>
  <c r="K95" i="65"/>
  <c r="L95" i="65"/>
  <c r="M95" i="65"/>
  <c r="F103" i="65"/>
  <c r="G103" i="65"/>
  <c r="H103" i="65"/>
  <c r="I103" i="65"/>
  <c r="J103" i="65"/>
  <c r="K103" i="65"/>
  <c r="L103" i="65"/>
  <c r="E104" i="65"/>
  <c r="E105" i="65"/>
  <c r="E106" i="65"/>
  <c r="E107" i="65"/>
  <c r="E108" i="65"/>
  <c r="E109" i="65"/>
  <c r="E110" i="65"/>
  <c r="E111" i="65"/>
  <c r="E112" i="65"/>
  <c r="E113" i="65"/>
  <c r="F114" i="65"/>
  <c r="G114" i="65"/>
  <c r="H114" i="65"/>
  <c r="I114" i="65"/>
  <c r="J114" i="65"/>
  <c r="K114" i="65"/>
  <c r="L114" i="65"/>
  <c r="E115" i="65"/>
  <c r="E116" i="65"/>
  <c r="E117" i="65"/>
  <c r="E118" i="65"/>
  <c r="E119" i="65"/>
  <c r="E120" i="65"/>
  <c r="E121" i="65"/>
  <c r="E122" i="65"/>
  <c r="E123" i="65"/>
  <c r="E124" i="65"/>
  <c r="F125" i="65"/>
  <c r="G125" i="65"/>
  <c r="H125" i="65"/>
  <c r="I125" i="65"/>
  <c r="J125" i="65"/>
  <c r="K125" i="65"/>
  <c r="L125" i="65"/>
  <c r="E126" i="65"/>
  <c r="E127" i="65"/>
  <c r="E128" i="65"/>
  <c r="E129" i="65"/>
  <c r="E130" i="65"/>
  <c r="E131" i="65"/>
  <c r="E132" i="65"/>
  <c r="E133" i="65"/>
  <c r="E134" i="65"/>
  <c r="E135" i="65"/>
  <c r="F136" i="65"/>
  <c r="G136" i="65"/>
  <c r="H136" i="65"/>
  <c r="I136" i="65"/>
  <c r="J136" i="65"/>
  <c r="K136" i="65"/>
  <c r="L136" i="65"/>
  <c r="E137" i="65"/>
  <c r="E138" i="65"/>
  <c r="E139" i="65"/>
  <c r="E140" i="65"/>
  <c r="E141" i="65"/>
  <c r="E142" i="65"/>
  <c r="E143" i="65"/>
  <c r="E144" i="65"/>
  <c r="E145" i="65"/>
  <c r="E146" i="65"/>
  <c r="F147" i="65"/>
  <c r="G147" i="65"/>
  <c r="H147" i="65"/>
  <c r="I147" i="65"/>
  <c r="J147" i="65"/>
  <c r="K147" i="65"/>
  <c r="L147" i="65"/>
  <c r="E148" i="65"/>
  <c r="E149" i="65"/>
  <c r="E150" i="65"/>
  <c r="E151" i="65"/>
  <c r="E152" i="65"/>
  <c r="E153" i="65"/>
  <c r="E154" i="65"/>
  <c r="E155" i="65"/>
  <c r="E156" i="65"/>
  <c r="E157" i="65"/>
  <c r="E158" i="65"/>
  <c r="F159" i="65"/>
  <c r="G159" i="65"/>
  <c r="H159" i="65"/>
  <c r="I159" i="65"/>
  <c r="J159" i="65"/>
  <c r="K159" i="65"/>
  <c r="L159" i="65"/>
  <c r="F168" i="65"/>
  <c r="G168" i="65"/>
  <c r="H168" i="65"/>
  <c r="I168" i="65"/>
  <c r="J168" i="65"/>
  <c r="F170" i="65"/>
  <c r="G170" i="65"/>
  <c r="H170" i="65"/>
  <c r="I170" i="65"/>
  <c r="J170" i="65"/>
  <c r="F171" i="65"/>
  <c r="G171" i="65"/>
  <c r="H171" i="65"/>
  <c r="I171" i="65"/>
  <c r="J171" i="65"/>
  <c r="F172" i="65"/>
  <c r="G172" i="65"/>
  <c r="H172" i="65"/>
  <c r="I172" i="65"/>
  <c r="J172" i="65"/>
  <c r="F173" i="65"/>
  <c r="G173" i="65"/>
  <c r="H173" i="65"/>
  <c r="I173" i="65"/>
  <c r="J173" i="65"/>
  <c r="F174" i="65"/>
  <c r="G174" i="65"/>
  <c r="H174" i="65"/>
  <c r="I174" i="65"/>
  <c r="J174" i="65"/>
  <c r="F175" i="65"/>
  <c r="G175" i="65"/>
  <c r="H175" i="65"/>
  <c r="I175" i="65"/>
  <c r="J175" i="65"/>
  <c r="F176" i="65"/>
  <c r="G176" i="65"/>
  <c r="H176" i="65"/>
  <c r="I176" i="65"/>
  <c r="J176" i="65"/>
  <c r="F177" i="65"/>
  <c r="G177" i="65"/>
  <c r="H177" i="65"/>
  <c r="I177" i="65"/>
  <c r="J177" i="65"/>
  <c r="F178" i="65"/>
  <c r="G178" i="65"/>
  <c r="H178" i="65"/>
  <c r="I178" i="65"/>
  <c r="J178" i="65"/>
  <c r="F179" i="65"/>
  <c r="G179" i="65"/>
  <c r="H179" i="65"/>
  <c r="I179" i="65"/>
  <c r="J179" i="65"/>
  <c r="F180" i="65"/>
  <c r="G180" i="65"/>
  <c r="H180" i="65"/>
  <c r="I180" i="65"/>
  <c r="J180" i="65"/>
  <c r="F181" i="65"/>
  <c r="G181" i="65"/>
  <c r="H181" i="65"/>
  <c r="I181" i="65"/>
  <c r="J181" i="65"/>
  <c r="F182" i="65"/>
  <c r="G182" i="65"/>
  <c r="H182" i="65"/>
  <c r="I182" i="65"/>
  <c r="J182" i="65"/>
  <c r="F183" i="65"/>
  <c r="G183" i="65"/>
  <c r="H183" i="65"/>
  <c r="I183" i="65"/>
  <c r="J183" i="65"/>
  <c r="F184" i="65"/>
  <c r="G184" i="65"/>
  <c r="H184" i="65"/>
  <c r="I184" i="65"/>
  <c r="J184" i="65"/>
  <c r="F185" i="65"/>
  <c r="G185" i="65"/>
  <c r="H185" i="65"/>
  <c r="I185" i="65"/>
  <c r="J185" i="65"/>
  <c r="F186" i="65"/>
  <c r="G186" i="65"/>
  <c r="H186" i="65"/>
  <c r="I186" i="65"/>
  <c r="J186" i="65"/>
  <c r="F187" i="65"/>
  <c r="G187" i="65"/>
  <c r="H187" i="65"/>
  <c r="I187" i="65"/>
  <c r="J187" i="65"/>
  <c r="F188" i="65"/>
  <c r="G188" i="65"/>
  <c r="H188" i="65"/>
  <c r="I188" i="65"/>
  <c r="J188" i="65"/>
  <c r="F189" i="65"/>
  <c r="G189" i="65"/>
  <c r="H189" i="65"/>
  <c r="I189" i="65"/>
  <c r="J189" i="65"/>
  <c r="F190" i="65"/>
  <c r="G190" i="65"/>
  <c r="H190" i="65"/>
  <c r="I190" i="65"/>
  <c r="J190" i="65"/>
  <c r="F191" i="65"/>
  <c r="G191" i="65"/>
  <c r="H191" i="65"/>
  <c r="I191" i="65"/>
  <c r="J191" i="65"/>
  <c r="F192" i="65"/>
  <c r="G192" i="65"/>
  <c r="H192" i="65"/>
  <c r="I192" i="65"/>
  <c r="J192" i="65"/>
  <c r="F193" i="65"/>
  <c r="G193" i="65"/>
  <c r="H193" i="65"/>
  <c r="I193" i="65"/>
  <c r="J193" i="65"/>
  <c r="F194" i="65"/>
  <c r="G194" i="65"/>
  <c r="H194" i="65"/>
  <c r="I194" i="65"/>
  <c r="J194" i="65"/>
  <c r="F195" i="65"/>
  <c r="G195" i="65"/>
  <c r="H195" i="65"/>
  <c r="I195" i="65"/>
  <c r="J195" i="65"/>
  <c r="F196" i="65"/>
  <c r="G196" i="65"/>
  <c r="H196" i="65"/>
  <c r="I196" i="65"/>
  <c r="J196" i="65"/>
  <c r="F197" i="65"/>
  <c r="G197" i="65"/>
  <c r="H197" i="65"/>
  <c r="I197" i="65"/>
  <c r="J197" i="65"/>
  <c r="F198" i="65"/>
  <c r="G198" i="65"/>
  <c r="H198" i="65"/>
  <c r="I198" i="65"/>
  <c r="J198" i="65"/>
  <c r="F199" i="65"/>
  <c r="G199" i="65"/>
  <c r="H199" i="65"/>
  <c r="I199" i="65"/>
  <c r="J199" i="65"/>
  <c r="F200" i="65"/>
  <c r="G200" i="65"/>
  <c r="H200" i="65"/>
  <c r="I200" i="65"/>
  <c r="J200" i="65"/>
  <c r="F201" i="65"/>
  <c r="G201" i="65"/>
  <c r="H201" i="65"/>
  <c r="I201" i="65"/>
  <c r="J201" i="65"/>
  <c r="F202" i="65"/>
  <c r="G202" i="65"/>
  <c r="H202" i="65"/>
  <c r="I202" i="65"/>
  <c r="J202" i="65"/>
  <c r="F203" i="65"/>
  <c r="G203" i="65"/>
  <c r="H203" i="65"/>
  <c r="I203" i="65"/>
  <c r="J203" i="65"/>
  <c r="F204" i="65"/>
  <c r="G204" i="65"/>
  <c r="H204" i="65"/>
  <c r="I204" i="65"/>
  <c r="J204" i="65"/>
  <c r="F205" i="65"/>
  <c r="G205" i="65"/>
  <c r="H205" i="65"/>
  <c r="I205" i="65"/>
  <c r="J205" i="65"/>
  <c r="F206" i="65"/>
  <c r="G206" i="65"/>
  <c r="H206" i="65"/>
  <c r="I206" i="65"/>
  <c r="J206" i="65"/>
  <c r="F207" i="65"/>
  <c r="G207" i="65"/>
  <c r="H207" i="65"/>
  <c r="I207" i="65"/>
  <c r="J207" i="65"/>
  <c r="F208" i="65"/>
  <c r="G208" i="65"/>
  <c r="H208" i="65"/>
  <c r="I208" i="65"/>
  <c r="J208" i="65"/>
  <c r="F209" i="65"/>
  <c r="G209" i="65"/>
  <c r="H209" i="65"/>
  <c r="I209" i="65"/>
  <c r="J209" i="65"/>
  <c r="F210" i="65"/>
  <c r="G210" i="65"/>
  <c r="H210" i="65"/>
  <c r="I210" i="65"/>
  <c r="J210" i="65"/>
  <c r="F211" i="65"/>
  <c r="G211" i="65"/>
  <c r="H211" i="65"/>
  <c r="I211" i="65"/>
  <c r="J211" i="65"/>
  <c r="F212" i="65"/>
  <c r="G212" i="65"/>
  <c r="H212" i="65"/>
  <c r="I212" i="65"/>
  <c r="J212" i="65"/>
  <c r="F213" i="65"/>
  <c r="G213" i="65"/>
  <c r="H213" i="65"/>
  <c r="I213" i="65"/>
  <c r="J213" i="65"/>
  <c r="F214" i="65"/>
  <c r="G214" i="65"/>
  <c r="H214" i="65"/>
  <c r="I214" i="65"/>
  <c r="J214" i="65"/>
  <c r="F215" i="65"/>
  <c r="G215" i="65"/>
  <c r="H215" i="65"/>
  <c r="I215" i="65"/>
  <c r="J215" i="65"/>
  <c r="F216" i="65"/>
  <c r="G216" i="65"/>
  <c r="H216" i="65"/>
  <c r="I216" i="65"/>
  <c r="J216" i="65"/>
  <c r="F217" i="65"/>
  <c r="G217" i="65"/>
  <c r="H217" i="65"/>
  <c r="I217" i="65"/>
  <c r="J217" i="65"/>
  <c r="F218" i="65"/>
  <c r="G218" i="65"/>
  <c r="H218" i="65"/>
  <c r="I218" i="65"/>
  <c r="J218" i="65"/>
  <c r="F219" i="65"/>
  <c r="G219" i="65"/>
  <c r="H219" i="65"/>
  <c r="I219" i="65"/>
  <c r="J219" i="65"/>
  <c r="F220" i="65"/>
  <c r="G220" i="65"/>
  <c r="H220" i="65"/>
  <c r="I220" i="65"/>
  <c r="J220" i="65"/>
  <c r="F221" i="65"/>
  <c r="G221" i="65"/>
  <c r="H221" i="65"/>
  <c r="I221" i="65"/>
  <c r="J221" i="65"/>
  <c r="F222" i="65"/>
  <c r="G222" i="65"/>
  <c r="H222" i="65"/>
  <c r="I222" i="65"/>
  <c r="J222" i="65"/>
  <c r="F223" i="65"/>
  <c r="G223" i="65"/>
  <c r="H223" i="65"/>
  <c r="I223" i="65"/>
  <c r="J223" i="65"/>
  <c r="F224" i="65"/>
  <c r="G224" i="65"/>
  <c r="H224" i="65"/>
  <c r="I224" i="65"/>
  <c r="J224" i="65"/>
  <c r="F225" i="65"/>
  <c r="G225" i="65"/>
  <c r="H225" i="65"/>
  <c r="I225" i="65"/>
  <c r="J225" i="65"/>
  <c r="F226" i="65"/>
  <c r="G226" i="65"/>
  <c r="H226" i="65"/>
  <c r="I226" i="65"/>
  <c r="J226" i="65"/>
  <c r="F227" i="65"/>
  <c r="G227" i="65"/>
  <c r="H227" i="65"/>
  <c r="I227" i="65"/>
  <c r="J227" i="65"/>
  <c r="F228" i="65"/>
  <c r="G228" i="65"/>
  <c r="H228" i="65"/>
  <c r="I228" i="65"/>
  <c r="J228" i="65"/>
  <c r="F229" i="65"/>
  <c r="G229" i="65"/>
  <c r="H229" i="65"/>
  <c r="I229" i="65"/>
  <c r="J229" i="65"/>
  <c r="F230" i="65"/>
  <c r="G230" i="65"/>
  <c r="H230" i="65"/>
  <c r="I230" i="65"/>
  <c r="J230" i="65"/>
  <c r="F231" i="65"/>
  <c r="G231" i="65"/>
  <c r="H231" i="65"/>
  <c r="I231" i="65"/>
  <c r="J231" i="65"/>
  <c r="F232" i="65"/>
  <c r="G232" i="65"/>
  <c r="H232" i="65"/>
  <c r="I232" i="65"/>
  <c r="J232" i="65"/>
  <c r="F233" i="65"/>
  <c r="G233" i="65"/>
  <c r="H233" i="65"/>
  <c r="I233" i="65"/>
  <c r="J233" i="65"/>
  <c r="F234" i="65"/>
  <c r="G234" i="65"/>
  <c r="H234" i="65"/>
  <c r="I234" i="65"/>
  <c r="J234" i="65"/>
  <c r="F235" i="65"/>
  <c r="G235" i="65"/>
  <c r="H235" i="65"/>
  <c r="I235" i="65"/>
  <c r="J235" i="65"/>
  <c r="F236" i="65"/>
  <c r="G236" i="65"/>
  <c r="H236" i="65"/>
  <c r="I236" i="65"/>
  <c r="J236" i="65"/>
  <c r="F237" i="65"/>
  <c r="G237" i="65"/>
  <c r="H237" i="65"/>
  <c r="I237" i="65"/>
  <c r="J237" i="65"/>
  <c r="F238" i="65"/>
  <c r="G238" i="65"/>
  <c r="H238" i="65"/>
  <c r="I238" i="65"/>
  <c r="J238" i="65"/>
  <c r="F239" i="65"/>
  <c r="G239" i="65"/>
  <c r="H239" i="65"/>
  <c r="I239" i="65"/>
  <c r="J239" i="65"/>
  <c r="F240" i="65"/>
  <c r="G240" i="65"/>
  <c r="H240" i="65"/>
  <c r="I240" i="65"/>
  <c r="J240" i="65"/>
  <c r="F241" i="65"/>
  <c r="G241" i="65"/>
  <c r="H241" i="65"/>
  <c r="I241" i="65"/>
  <c r="J241" i="65"/>
  <c r="F242" i="65"/>
  <c r="G242" i="65"/>
  <c r="H242" i="65"/>
  <c r="I242" i="65"/>
  <c r="J242" i="65"/>
  <c r="F243" i="65"/>
  <c r="G243" i="65"/>
  <c r="H243" i="65"/>
  <c r="I243" i="65"/>
  <c r="J243" i="65"/>
  <c r="F244" i="65"/>
  <c r="G244" i="65"/>
  <c r="H244" i="65"/>
  <c r="I244" i="65"/>
  <c r="J244" i="65"/>
  <c r="F245" i="65"/>
  <c r="G245" i="65"/>
  <c r="H245" i="65"/>
  <c r="I245" i="65"/>
  <c r="J245" i="65"/>
  <c r="F246" i="65"/>
  <c r="G246" i="65"/>
  <c r="H246" i="65"/>
  <c r="I246" i="65"/>
  <c r="J246" i="65"/>
  <c r="F247" i="65"/>
  <c r="G247" i="65"/>
  <c r="H247" i="65"/>
  <c r="I247" i="65"/>
  <c r="J247" i="65"/>
  <c r="F248" i="65"/>
  <c r="G248" i="65"/>
  <c r="H248" i="65"/>
  <c r="I248" i="65"/>
  <c r="J248" i="65"/>
  <c r="F249" i="65"/>
  <c r="G249" i="65"/>
  <c r="H249" i="65"/>
  <c r="I249" i="65"/>
  <c r="J249" i="65"/>
  <c r="F250" i="65"/>
  <c r="G250" i="65"/>
  <c r="H250" i="65"/>
  <c r="I250" i="65"/>
  <c r="J250" i="65"/>
  <c r="F251" i="65"/>
  <c r="G251" i="65"/>
  <c r="H251" i="65"/>
  <c r="I251" i="65"/>
  <c r="J251" i="65"/>
  <c r="F252" i="65"/>
  <c r="G252" i="65"/>
  <c r="H252" i="65"/>
  <c r="I252" i="65"/>
  <c r="J252" i="65"/>
  <c r="F253" i="65"/>
  <c r="G253" i="65"/>
  <c r="H253" i="65"/>
  <c r="I253" i="65"/>
  <c r="J253" i="65"/>
  <c r="F254" i="65"/>
  <c r="G254" i="65"/>
  <c r="H254" i="65"/>
  <c r="I254" i="65"/>
  <c r="J254" i="65"/>
  <c r="F255" i="65"/>
  <c r="G255" i="65"/>
  <c r="H255" i="65"/>
  <c r="I255" i="65"/>
  <c r="J255" i="65"/>
  <c r="F256" i="65"/>
  <c r="G256" i="65"/>
  <c r="H256" i="65"/>
  <c r="I256" i="65"/>
  <c r="J256" i="65"/>
  <c r="F257" i="65"/>
  <c r="G257" i="65"/>
  <c r="H257" i="65"/>
  <c r="I257" i="65"/>
  <c r="J257" i="65"/>
  <c r="F258" i="65"/>
  <c r="G258" i="65"/>
  <c r="H258" i="65"/>
  <c r="I258" i="65"/>
  <c r="J258" i="65"/>
  <c r="F259" i="65"/>
  <c r="G259" i="65"/>
  <c r="H259" i="65"/>
  <c r="I259" i="65"/>
  <c r="J259" i="65"/>
  <c r="G2" i="62"/>
  <c r="M2" i="62"/>
  <c r="G3" i="62"/>
  <c r="F6" i="62"/>
  <c r="F9" i="62"/>
  <c r="D14" i="62"/>
  <c r="D17" i="62"/>
  <c r="F19" i="62"/>
  <c r="F23" i="62"/>
  <c r="F18" i="62" s="1"/>
  <c r="D27" i="62"/>
  <c r="D33" i="62"/>
  <c r="F33" i="62"/>
  <c r="D36" i="62"/>
  <c r="F36" i="62"/>
  <c r="A1" i="26"/>
  <c r="C1" i="66" s="1"/>
  <c r="E1" i="26"/>
  <c r="G1" i="26"/>
  <c r="H1" i="26"/>
  <c r="I1" i="26"/>
  <c r="A2" i="26"/>
  <c r="C2" i="61" s="1"/>
  <c r="E2" i="26"/>
  <c r="E4" i="26"/>
  <c r="G10" i="26"/>
  <c r="G14" i="26"/>
  <c r="L7" i="62" s="1"/>
  <c r="G15" i="26"/>
  <c r="G16" i="26"/>
  <c r="G18" i="26"/>
  <c r="G19" i="26"/>
  <c r="G23" i="26"/>
  <c r="J23" i="26"/>
  <c r="G24" i="26"/>
  <c r="G25" i="26"/>
  <c r="C1" i="41"/>
  <c r="I1" i="41"/>
  <c r="C2" i="41"/>
  <c r="H5" i="41"/>
  <c r="H6" i="41"/>
  <c r="H7" i="41"/>
  <c r="H10" i="41"/>
  <c r="H11" i="41"/>
  <c r="H12" i="41"/>
  <c r="B13" i="41"/>
  <c r="H14" i="41"/>
  <c r="H15" i="41"/>
  <c r="B17" i="41"/>
  <c r="H17" i="41"/>
  <c r="B18" i="41"/>
  <c r="H18" i="41"/>
  <c r="B19" i="41"/>
  <c r="H19" i="41"/>
  <c r="H21" i="41"/>
  <c r="F267" i="86"/>
  <c r="F267" i="97"/>
  <c r="G80" i="86"/>
  <c r="I111" i="86"/>
  <c r="I80" i="86"/>
  <c r="H80" i="86"/>
  <c r="F11" i="86"/>
  <c r="D46" i="13"/>
  <c r="D16" i="13"/>
  <c r="D26" i="13"/>
  <c r="C54" i="13"/>
  <c r="M1" i="62"/>
  <c r="G1" i="62"/>
  <c r="O1" i="65"/>
  <c r="G1" i="64"/>
  <c r="I1" i="61"/>
  <c r="H1" i="66"/>
  <c r="N1" i="98"/>
  <c r="M1" i="73"/>
  <c r="N1" i="86"/>
  <c r="D64" i="61" l="1"/>
  <c r="F68" i="61"/>
  <c r="D32" i="62"/>
  <c r="E259" i="65"/>
  <c r="E257" i="65"/>
  <c r="E255" i="65"/>
  <c r="E253" i="65"/>
  <c r="E251" i="65"/>
  <c r="E249" i="65"/>
  <c r="E247" i="65"/>
  <c r="E245" i="65"/>
  <c r="E243" i="65"/>
  <c r="E241" i="65"/>
  <c r="E239" i="65"/>
  <c r="E237" i="65"/>
  <c r="E235" i="65"/>
  <c r="E233" i="65"/>
  <c r="E231" i="65"/>
  <c r="E229" i="65"/>
  <c r="E227" i="65"/>
  <c r="E225" i="65"/>
  <c r="E223" i="65"/>
  <c r="E221" i="65"/>
  <c r="E219" i="65"/>
  <c r="E217" i="65"/>
  <c r="E215" i="65"/>
  <c r="E213" i="65"/>
  <c r="E211" i="65"/>
  <c r="E209" i="65"/>
  <c r="E207" i="65"/>
  <c r="E205" i="65"/>
  <c r="E203" i="65"/>
  <c r="E201" i="65"/>
  <c r="E199" i="65"/>
  <c r="E197" i="65"/>
  <c r="E195" i="65"/>
  <c r="E193" i="65"/>
  <c r="E192" i="65"/>
  <c r="E189" i="65"/>
  <c r="E187" i="65"/>
  <c r="E185" i="65"/>
  <c r="E183" i="65"/>
  <c r="E181" i="65"/>
  <c r="E179" i="65"/>
  <c r="E177" i="65"/>
  <c r="E175" i="65"/>
  <c r="E173" i="65"/>
  <c r="E171" i="65"/>
  <c r="E159" i="65"/>
  <c r="E147" i="65"/>
  <c r="E125" i="65"/>
  <c r="E103" i="65"/>
  <c r="G33" i="66"/>
  <c r="G13" i="66"/>
  <c r="K212" i="86"/>
  <c r="K211" i="86"/>
  <c r="K205" i="86"/>
  <c r="K198" i="86"/>
  <c r="I192" i="86"/>
  <c r="J137" i="86"/>
  <c r="F32" i="62"/>
  <c r="D11" i="62"/>
  <c r="D50" i="62" s="1"/>
  <c r="E258" i="65"/>
  <c r="E256" i="65"/>
  <c r="E254" i="65"/>
  <c r="E252" i="65"/>
  <c r="E250" i="65"/>
  <c r="E248" i="65"/>
  <c r="E246" i="65"/>
  <c r="E244" i="65"/>
  <c r="E242" i="65"/>
  <c r="E240" i="65"/>
  <c r="E238" i="65"/>
  <c r="E236" i="65"/>
  <c r="E234" i="65"/>
  <c r="E232" i="65"/>
  <c r="E230" i="65"/>
  <c r="E228" i="65"/>
  <c r="E226" i="65"/>
  <c r="E224" i="65"/>
  <c r="E222" i="65"/>
  <c r="E220" i="65"/>
  <c r="E218" i="65"/>
  <c r="E216" i="65"/>
  <c r="E214" i="65"/>
  <c r="E212" i="65"/>
  <c r="E210" i="65"/>
  <c r="E208" i="65"/>
  <c r="E206" i="65"/>
  <c r="E204" i="65"/>
  <c r="E202" i="65"/>
  <c r="E200" i="65"/>
  <c r="E198" i="65"/>
  <c r="E196" i="65"/>
  <c r="E194" i="65"/>
  <c r="E191" i="65"/>
  <c r="E190" i="65"/>
  <c r="E188" i="65"/>
  <c r="E186" i="65"/>
  <c r="E184" i="65"/>
  <c r="E182" i="65"/>
  <c r="E180" i="65"/>
  <c r="E178" i="65"/>
  <c r="E176" i="65"/>
  <c r="E174" i="65"/>
  <c r="E172" i="65"/>
  <c r="E170" i="65"/>
  <c r="E168" i="65"/>
  <c r="E136" i="65"/>
  <c r="E114" i="65"/>
  <c r="D73" i="61"/>
  <c r="D52" i="61"/>
  <c r="H33" i="66"/>
  <c r="H13" i="66"/>
  <c r="I123" i="86"/>
  <c r="K172" i="86"/>
  <c r="K167" i="86"/>
  <c r="J155" i="86"/>
  <c r="H106" i="86" s="1"/>
  <c r="J144" i="86"/>
  <c r="J141" i="86"/>
  <c r="K138" i="86"/>
  <c r="M12" i="86"/>
  <c r="M17" i="86" s="1"/>
  <c r="K208" i="97"/>
  <c r="J191" i="97"/>
  <c r="K176" i="97"/>
  <c r="I122" i="97"/>
  <c r="K171" i="97"/>
  <c r="K166" i="97"/>
  <c r="J155" i="97"/>
  <c r="H106" i="97" s="1"/>
  <c r="K150" i="97"/>
  <c r="K147" i="97"/>
  <c r="K146" i="97"/>
  <c r="K143" i="97"/>
  <c r="L141" i="97"/>
  <c r="J141" i="97"/>
  <c r="K138" i="97"/>
  <c r="I111" i="97"/>
  <c r="M12" i="97"/>
  <c r="M17" i="97" s="1"/>
  <c r="K212" i="98"/>
  <c r="K211" i="98"/>
  <c r="K199" i="98"/>
  <c r="K175" i="98"/>
  <c r="K159" i="98"/>
  <c r="K142" i="98"/>
  <c r="J207" i="97"/>
  <c r="J170" i="97"/>
  <c r="F11" i="97"/>
  <c r="J155" i="98"/>
  <c r="H106" i="98" s="1"/>
  <c r="J144" i="98"/>
  <c r="J140" i="98" s="1"/>
  <c r="H103" i="98" s="1"/>
  <c r="J137" i="98"/>
  <c r="F11" i="98"/>
  <c r="F18" i="13"/>
  <c r="E34" i="66"/>
  <c r="F26" i="13"/>
  <c r="F16" i="13"/>
  <c r="F46" i="13"/>
  <c r="F249" i="86"/>
  <c r="K249" i="86"/>
  <c r="F245" i="86"/>
  <c r="K245" i="86"/>
  <c r="J201" i="86"/>
  <c r="J200" i="86" s="1"/>
  <c r="H185" i="86" s="1"/>
  <c r="L201" i="86"/>
  <c r="I183" i="86"/>
  <c r="J140" i="86"/>
  <c r="H103" i="86" s="1"/>
  <c r="J106" i="86"/>
  <c r="K155" i="86"/>
  <c r="I106" i="86" s="1"/>
  <c r="J151" i="86"/>
  <c r="L151" i="86"/>
  <c r="G102" i="86"/>
  <c r="R109" i="86" s="1"/>
  <c r="R103" i="86" s="1"/>
  <c r="J136" i="86"/>
  <c r="H102" i="86" s="1"/>
  <c r="L136" i="86"/>
  <c r="F50" i="62"/>
  <c r="G49" i="66"/>
  <c r="G78" i="66" s="1"/>
  <c r="I129" i="86"/>
  <c r="J148" i="86"/>
  <c r="H105" i="86" s="1"/>
  <c r="K144" i="86"/>
  <c r="I267" i="86"/>
  <c r="G267" i="98"/>
  <c r="G271" i="98" s="1"/>
  <c r="J267" i="98"/>
  <c r="J268" i="98"/>
  <c r="J269" i="98"/>
  <c r="I270" i="98"/>
  <c r="I271" i="98"/>
  <c r="H273" i="98"/>
  <c r="J273" i="98"/>
  <c r="I274" i="98"/>
  <c r="I267" i="98"/>
  <c r="I269" i="98"/>
  <c r="J270" i="98"/>
  <c r="I273" i="98"/>
  <c r="J274" i="98"/>
  <c r="I267" i="97"/>
  <c r="I268" i="97"/>
  <c r="I269" i="97"/>
  <c r="J270" i="97"/>
  <c r="I271" i="97"/>
  <c r="H273" i="97"/>
  <c r="J273" i="97"/>
  <c r="I274" i="97"/>
  <c r="I268" i="98"/>
  <c r="J271" i="98"/>
  <c r="H274" i="98"/>
  <c r="G267" i="97"/>
  <c r="J267" i="97"/>
  <c r="J268" i="97"/>
  <c r="J269" i="97"/>
  <c r="I270" i="97"/>
  <c r="J271" i="97"/>
  <c r="I273" i="97"/>
  <c r="H274" i="97"/>
  <c r="J274" i="97"/>
  <c r="F1" i="99"/>
  <c r="F1" i="13"/>
  <c r="J225" i="98"/>
  <c r="J225" i="97"/>
  <c r="H224" i="98"/>
  <c r="H224" i="97"/>
  <c r="J223" i="97"/>
  <c r="J223" i="98"/>
  <c r="H222" i="97"/>
  <c r="H222" i="98"/>
  <c r="N224" i="98"/>
  <c r="N224" i="97"/>
  <c r="F224" i="97" s="1"/>
  <c r="N222" i="98"/>
  <c r="N222" i="97"/>
  <c r="J251" i="98"/>
  <c r="J251" i="97"/>
  <c r="J250" i="98"/>
  <c r="J250" i="97"/>
  <c r="J249" i="98"/>
  <c r="J249" i="97"/>
  <c r="J248" i="98"/>
  <c r="J248" i="97"/>
  <c r="J247" i="98"/>
  <c r="J247" i="97"/>
  <c r="J246" i="98"/>
  <c r="J246" i="97"/>
  <c r="J245" i="98"/>
  <c r="J245" i="97"/>
  <c r="J244" i="97"/>
  <c r="J244" i="98"/>
  <c r="J243" i="97"/>
  <c r="J243" i="98"/>
  <c r="J242" i="98"/>
  <c r="J242" i="97"/>
  <c r="J241" i="98"/>
  <c r="J241" i="97"/>
  <c r="J240" i="98"/>
  <c r="J240" i="97"/>
  <c r="N250" i="98"/>
  <c r="N250" i="97"/>
  <c r="N248" i="98"/>
  <c r="N248" i="97"/>
  <c r="N246" i="97"/>
  <c r="F246" i="97" s="1"/>
  <c r="N246" i="98"/>
  <c r="N244" i="98"/>
  <c r="N244" i="97"/>
  <c r="N242" i="98"/>
  <c r="N242" i="97"/>
  <c r="N240" i="98"/>
  <c r="K240" i="98" s="1"/>
  <c r="N240" i="97"/>
  <c r="K68" i="98"/>
  <c r="F35" i="13" s="1"/>
  <c r="K68" i="97"/>
  <c r="E35" i="13" s="1"/>
  <c r="K68" i="86"/>
  <c r="D35" i="13" s="1"/>
  <c r="H68" i="98"/>
  <c r="H73" i="98" s="1"/>
  <c r="H68" i="97"/>
  <c r="H73" i="97" s="1"/>
  <c r="D31" i="97" s="1"/>
  <c r="H68" i="86"/>
  <c r="F68" i="98"/>
  <c r="F68" i="97"/>
  <c r="F68" i="86"/>
  <c r="F20" i="98"/>
  <c r="F21" i="13" s="1"/>
  <c r="F22" i="13" s="1"/>
  <c r="F20" i="97"/>
  <c r="E21" i="13" s="1"/>
  <c r="E22" i="13" s="1"/>
  <c r="F20" i="86"/>
  <c r="I117" i="86"/>
  <c r="J206" i="97"/>
  <c r="H186" i="97" s="1"/>
  <c r="L206" i="97"/>
  <c r="I183" i="97"/>
  <c r="J169" i="97"/>
  <c r="H120" i="97" s="1"/>
  <c r="L169" i="97"/>
  <c r="M22" i="26"/>
  <c r="D23" i="26" s="1"/>
  <c r="J48" i="62"/>
  <c r="D46" i="66" s="1"/>
  <c r="J46" i="66" s="1"/>
  <c r="L47" i="62"/>
  <c r="D67" i="66" s="1"/>
  <c r="J67" i="66" s="1"/>
  <c r="L46" i="62"/>
  <c r="D71" i="66" s="1"/>
  <c r="J71" i="66" s="1"/>
  <c r="J46" i="62"/>
  <c r="D44" i="66" s="1"/>
  <c r="J44" i="66" s="1"/>
  <c r="L45" i="62"/>
  <c r="D64" i="66" s="1"/>
  <c r="J64" i="66" s="1"/>
  <c r="J44" i="62"/>
  <c r="D43" i="66" s="1"/>
  <c r="J43" i="66" s="1"/>
  <c r="L42" i="62"/>
  <c r="D62" i="66" s="1"/>
  <c r="J62" i="66" s="1"/>
  <c r="J42" i="62"/>
  <c r="D47" i="66" s="1"/>
  <c r="J47" i="66" s="1"/>
  <c r="L41" i="62"/>
  <c r="D60" i="66" s="1"/>
  <c r="J60" i="66" s="1"/>
  <c r="J40" i="62"/>
  <c r="D40" i="66" s="1"/>
  <c r="J40" i="66" s="1"/>
  <c r="J38" i="62"/>
  <c r="J37" i="62"/>
  <c r="D38" i="66" s="1"/>
  <c r="J38" i="66" s="1"/>
  <c r="L34" i="62"/>
  <c r="D54" i="66" s="1"/>
  <c r="J54" i="66" s="1"/>
  <c r="L31" i="62"/>
  <c r="D66" i="66" s="1"/>
  <c r="J66" i="66" s="1"/>
  <c r="J30" i="62"/>
  <c r="D32" i="66" s="1"/>
  <c r="J32" i="66" s="1"/>
  <c r="J29" i="62"/>
  <c r="D31" i="66" s="1"/>
  <c r="J31" i="66" s="1"/>
  <c r="L28" i="62"/>
  <c r="D61" i="66" s="1"/>
  <c r="J61" i="66" s="1"/>
  <c r="L27" i="62"/>
  <c r="L26" i="62"/>
  <c r="L25" i="62"/>
  <c r="L24" i="62"/>
  <c r="L21" i="62"/>
  <c r="L20" i="62"/>
  <c r="J19" i="62"/>
  <c r="D21" i="66" s="1"/>
  <c r="J21" i="66" s="1"/>
  <c r="J16" i="62"/>
  <c r="D18" i="66" s="1"/>
  <c r="J18" i="66" s="1"/>
  <c r="L14" i="62"/>
  <c r="L13" i="62"/>
  <c r="L12" i="62"/>
  <c r="L11" i="62"/>
  <c r="L10" i="62"/>
  <c r="J9" i="62"/>
  <c r="D11" i="66" s="1"/>
  <c r="J11" i="66" s="1"/>
  <c r="L8" i="62"/>
  <c r="L6" i="62" s="1"/>
  <c r="J7" i="62"/>
  <c r="D9" i="66" s="1"/>
  <c r="J9" i="66" s="1"/>
  <c r="J6" i="62"/>
  <c r="D7" i="66" s="1"/>
  <c r="H7" i="66" s="1"/>
  <c r="I2" i="62"/>
  <c r="C2" i="62"/>
  <c r="C1" i="62"/>
  <c r="C2" i="65"/>
  <c r="C1" i="64"/>
  <c r="D11" i="61"/>
  <c r="I274" i="86"/>
  <c r="J273" i="86"/>
  <c r="H273" i="86"/>
  <c r="I271" i="86"/>
  <c r="I270" i="86"/>
  <c r="J269" i="86"/>
  <c r="J268" i="86"/>
  <c r="J267" i="86"/>
  <c r="G267" i="86"/>
  <c r="G271" i="86" s="1"/>
  <c r="J251" i="86"/>
  <c r="N250" i="86"/>
  <c r="J248" i="86"/>
  <c r="J247" i="86"/>
  <c r="J246" i="86"/>
  <c r="N244" i="86"/>
  <c r="J243" i="86"/>
  <c r="N242" i="86"/>
  <c r="F242" i="86" s="1"/>
  <c r="J241" i="86"/>
  <c r="N240" i="86"/>
  <c r="J225" i="86"/>
  <c r="N224" i="86"/>
  <c r="H224" i="86"/>
  <c r="J223" i="86"/>
  <c r="N222" i="86"/>
  <c r="H222" i="86"/>
  <c r="J207" i="86"/>
  <c r="J187" i="86"/>
  <c r="I187" i="86" s="1"/>
  <c r="J184" i="86"/>
  <c r="I184" i="86" s="1"/>
  <c r="J170" i="86"/>
  <c r="L141" i="86"/>
  <c r="J119" i="86"/>
  <c r="I119" i="86" s="1"/>
  <c r="F116" i="97"/>
  <c r="F81" i="97" s="1"/>
  <c r="A2" i="99"/>
  <c r="C2" i="73"/>
  <c r="A2" i="13"/>
  <c r="C2" i="98"/>
  <c r="C2" i="97"/>
  <c r="C2" i="86"/>
  <c r="A1" i="99"/>
  <c r="A1" i="13"/>
  <c r="C1" i="98"/>
  <c r="C1" i="73"/>
  <c r="C1" i="97"/>
  <c r="C1" i="86"/>
  <c r="J224" i="98"/>
  <c r="J224" i="97"/>
  <c r="J222" i="98"/>
  <c r="J222" i="97"/>
  <c r="N225" i="98"/>
  <c r="N225" i="97"/>
  <c r="N223" i="98"/>
  <c r="N223" i="97"/>
  <c r="F223" i="97" s="1"/>
  <c r="N251" i="98"/>
  <c r="N251" i="97"/>
  <c r="N249" i="98"/>
  <c r="N249" i="97"/>
  <c r="N247" i="98"/>
  <c r="N247" i="97"/>
  <c r="N245" i="98"/>
  <c r="N245" i="97"/>
  <c r="N243" i="98"/>
  <c r="N243" i="97"/>
  <c r="F243" i="97" s="1"/>
  <c r="N241" i="98"/>
  <c r="N241" i="97"/>
  <c r="D129" i="97"/>
  <c r="D129" i="98"/>
  <c r="D117" i="98"/>
  <c r="D117" i="97"/>
  <c r="D117" i="86"/>
  <c r="D111" i="97"/>
  <c r="D111" i="86"/>
  <c r="D111" i="98"/>
  <c r="J68" i="98"/>
  <c r="J68" i="97"/>
  <c r="E34" i="13" s="1"/>
  <c r="E33" i="13" s="1"/>
  <c r="J68" i="86"/>
  <c r="I68" i="98"/>
  <c r="I73" i="98" s="1"/>
  <c r="I68" i="97"/>
  <c r="I73" i="97" s="1"/>
  <c r="I68" i="86"/>
  <c r="I73" i="86" s="1"/>
  <c r="G68" i="98"/>
  <c r="G73" i="98" s="1"/>
  <c r="G68" i="97"/>
  <c r="G73" i="97" s="1"/>
  <c r="G68" i="86"/>
  <c r="G73" i="86" s="1"/>
  <c r="D20" i="98"/>
  <c r="D20" i="97"/>
  <c r="D20" i="86"/>
  <c r="J129" i="97"/>
  <c r="I129" i="97" s="1"/>
  <c r="I191" i="97"/>
  <c r="K141" i="97"/>
  <c r="N1" i="97"/>
  <c r="L49" i="62"/>
  <c r="D75" i="66" s="1"/>
  <c r="J75" i="66" s="1"/>
  <c r="J49" i="62"/>
  <c r="D48" i="66" s="1"/>
  <c r="J48" i="66" s="1"/>
  <c r="L48" i="62"/>
  <c r="D68" i="66" s="1"/>
  <c r="J68" i="66" s="1"/>
  <c r="J47" i="62"/>
  <c r="D45" i="66" s="1"/>
  <c r="J45" i="66" s="1"/>
  <c r="L44" i="62"/>
  <c r="D70" i="66" s="1"/>
  <c r="J70" i="66" s="1"/>
  <c r="L43" i="62"/>
  <c r="D69" i="66" s="1"/>
  <c r="J69" i="66" s="1"/>
  <c r="J43" i="62"/>
  <c r="D42" i="66" s="1"/>
  <c r="J42" i="66" s="1"/>
  <c r="J41" i="62"/>
  <c r="D8" i="66" s="1"/>
  <c r="H8" i="66" s="1"/>
  <c r="L40" i="62"/>
  <c r="L39" i="62"/>
  <c r="D58" i="66" s="1"/>
  <c r="J58" i="66" s="1"/>
  <c r="L38" i="62"/>
  <c r="D57" i="66" s="1"/>
  <c r="J57" i="66" s="1"/>
  <c r="L37" i="62"/>
  <c r="L35" i="62"/>
  <c r="D55" i="66" s="1"/>
  <c r="J55" i="66" s="1"/>
  <c r="J35" i="62"/>
  <c r="D36" i="66" s="1"/>
  <c r="J36" i="66" s="1"/>
  <c r="J34" i="62"/>
  <c r="J31" i="62"/>
  <c r="D41" i="66" s="1"/>
  <c r="J41" i="66" s="1"/>
  <c r="L30" i="62"/>
  <c r="D63" i="66" s="1"/>
  <c r="J63" i="66" s="1"/>
  <c r="L29" i="62"/>
  <c r="D65" i="66" s="1"/>
  <c r="J65" i="66" s="1"/>
  <c r="J28" i="62"/>
  <c r="J26" i="62"/>
  <c r="J25" i="62"/>
  <c r="D27" i="66" s="1"/>
  <c r="J27" i="66" s="1"/>
  <c r="J24" i="62"/>
  <c r="D26" i="66" s="1"/>
  <c r="J26" i="66" s="1"/>
  <c r="J23" i="62"/>
  <c r="D25" i="66" s="1"/>
  <c r="J25" i="66" s="1"/>
  <c r="L22" i="62"/>
  <c r="J22" i="62"/>
  <c r="D24" i="66" s="1"/>
  <c r="J24" i="66" s="1"/>
  <c r="J21" i="62"/>
  <c r="D23" i="66" s="1"/>
  <c r="J23" i="66" s="1"/>
  <c r="J20" i="62"/>
  <c r="D22" i="66" s="1"/>
  <c r="J22" i="66" s="1"/>
  <c r="J18" i="62"/>
  <c r="L17" i="62"/>
  <c r="L16" i="62"/>
  <c r="L15" i="62"/>
  <c r="J15" i="62"/>
  <c r="J13" i="62"/>
  <c r="J12" i="62"/>
  <c r="D14" i="66" s="1"/>
  <c r="J14" i="66" s="1"/>
  <c r="J10" i="62"/>
  <c r="D12" i="66" s="1"/>
  <c r="J12" i="66" s="1"/>
  <c r="J8" i="62"/>
  <c r="D10" i="66" s="1"/>
  <c r="J10" i="66" s="1"/>
  <c r="I1" i="62"/>
  <c r="C1" i="65"/>
  <c r="H140" i="61"/>
  <c r="H138" i="61"/>
  <c r="H126" i="61"/>
  <c r="H125" i="61"/>
  <c r="H124" i="61"/>
  <c r="H123" i="61"/>
  <c r="H122" i="61"/>
  <c r="H121" i="61"/>
  <c r="H120" i="61"/>
  <c r="H119" i="61"/>
  <c r="H118" i="61"/>
  <c r="H117" i="61"/>
  <c r="H116" i="61"/>
  <c r="H115" i="61"/>
  <c r="D68" i="61"/>
  <c r="C1" i="61"/>
  <c r="C2" i="66"/>
  <c r="J274" i="86"/>
  <c r="H274" i="86"/>
  <c r="I273" i="86"/>
  <c r="J271" i="86"/>
  <c r="J270" i="86"/>
  <c r="I269" i="86"/>
  <c r="I268" i="86"/>
  <c r="N251" i="86"/>
  <c r="J250" i="86"/>
  <c r="J249" i="86"/>
  <c r="N248" i="86"/>
  <c r="N247" i="86"/>
  <c r="N246" i="86"/>
  <c r="J245" i="86"/>
  <c r="J244" i="86"/>
  <c r="N243" i="86"/>
  <c r="J242" i="86"/>
  <c r="N241" i="86"/>
  <c r="J240" i="86"/>
  <c r="N225" i="86"/>
  <c r="J224" i="86"/>
  <c r="N223" i="86"/>
  <c r="J222" i="86"/>
  <c r="K203" i="86"/>
  <c r="I191" i="86"/>
  <c r="G191" i="86"/>
  <c r="K176" i="86"/>
  <c r="K174" i="86"/>
  <c r="K166" i="86"/>
  <c r="K156" i="86"/>
  <c r="K153" i="86"/>
  <c r="K149" i="86"/>
  <c r="K147" i="86"/>
  <c r="I104" i="86" s="1"/>
  <c r="K145" i="86"/>
  <c r="I188" i="97"/>
  <c r="J140" i="97"/>
  <c r="H103" i="97" s="1"/>
  <c r="I119" i="98"/>
  <c r="E33" i="66"/>
  <c r="D10" i="13"/>
  <c r="J206" i="98"/>
  <c r="H186" i="98" s="1"/>
  <c r="L206" i="98"/>
  <c r="H129" i="98"/>
  <c r="I129" i="98" s="1"/>
  <c r="G191" i="98"/>
  <c r="I191" i="98"/>
  <c r="I183" i="98"/>
  <c r="J123" i="98"/>
  <c r="I123" i="98" s="1"/>
  <c r="K176" i="98"/>
  <c r="J117" i="98"/>
  <c r="K166" i="98"/>
  <c r="J152" i="98"/>
  <c r="K153" i="98"/>
  <c r="J104" i="98"/>
  <c r="I104" i="98" s="1"/>
  <c r="K147" i="98"/>
  <c r="G102" i="98"/>
  <c r="R109" i="98" s="1"/>
  <c r="R103" i="98" s="1"/>
  <c r="J136" i="98"/>
  <c r="H102" i="98" s="1"/>
  <c r="L136" i="98"/>
  <c r="J202" i="97"/>
  <c r="L155" i="97"/>
  <c r="J152" i="97"/>
  <c r="L144" i="97"/>
  <c r="K144" i="97" s="1"/>
  <c r="J137" i="97"/>
  <c r="J80" i="97"/>
  <c r="J187" i="98"/>
  <c r="I187" i="98" s="1"/>
  <c r="J202" i="98"/>
  <c r="K203" i="98"/>
  <c r="J121" i="98"/>
  <c r="I121" i="98" s="1"/>
  <c r="K174" i="98"/>
  <c r="L155" i="98"/>
  <c r="K156" i="98"/>
  <c r="K149" i="98"/>
  <c r="L144" i="98"/>
  <c r="K144" i="98" s="1"/>
  <c r="K145" i="98"/>
  <c r="D18" i="13"/>
  <c r="K212" i="97"/>
  <c r="K198" i="97"/>
  <c r="I192" i="97"/>
  <c r="K175" i="97"/>
  <c r="K167" i="97"/>
  <c r="H116" i="97"/>
  <c r="K159" i="97"/>
  <c r="I108" i="97" s="1"/>
  <c r="I117" i="97"/>
  <c r="G111" i="97"/>
  <c r="I107" i="97"/>
  <c r="H80" i="97"/>
  <c r="G80" i="97" s="1"/>
  <c r="K209" i="98"/>
  <c r="I188" i="98"/>
  <c r="J184" i="98"/>
  <c r="I184" i="98" s="1"/>
  <c r="J170" i="98"/>
  <c r="K168" i="98"/>
  <c r="L141" i="98"/>
  <c r="F267" i="98"/>
  <c r="F271" i="98" s="1"/>
  <c r="F274" i="98" s="1"/>
  <c r="D264" i="98" s="1"/>
  <c r="M12" i="98"/>
  <c r="M17" i="98" s="1"/>
  <c r="E37" i="66"/>
  <c r="C53" i="13"/>
  <c r="F241" i="86"/>
  <c r="K241" i="86"/>
  <c r="F78" i="86"/>
  <c r="H78" i="86"/>
  <c r="F271" i="86"/>
  <c r="F274" i="86" s="1"/>
  <c r="D264" i="86" s="1"/>
  <c r="K225" i="98"/>
  <c r="F225" i="98"/>
  <c r="D32" i="98"/>
  <c r="F34" i="13"/>
  <c r="F33" i="13" s="1"/>
  <c r="E60" i="13"/>
  <c r="E26" i="13"/>
  <c r="E16" i="13"/>
  <c r="E46" i="13"/>
  <c r="C12" i="13"/>
  <c r="D28" i="66"/>
  <c r="J28" i="66" s="1"/>
  <c r="K247" i="86"/>
  <c r="F247" i="86"/>
  <c r="D34" i="13"/>
  <c r="D33" i="13" s="1"/>
  <c r="F240" i="98"/>
  <c r="D240" i="98" s="1"/>
  <c r="D35" i="66"/>
  <c r="K242" i="86"/>
  <c r="D242" i="86" s="1"/>
  <c r="D15" i="66"/>
  <c r="K250" i="86"/>
  <c r="F250" i="86"/>
  <c r="H73" i="86"/>
  <c r="D68" i="86"/>
  <c r="E31" i="13"/>
  <c r="D32" i="97"/>
  <c r="K242" i="98"/>
  <c r="F242" i="98"/>
  <c r="K223" i="97"/>
  <c r="L33" i="62"/>
  <c r="K224" i="97"/>
  <c r="D224" i="97" s="1"/>
  <c r="K246" i="97"/>
  <c r="D246" i="97" s="1"/>
  <c r="K243" i="97"/>
  <c r="D247" i="86" l="1"/>
  <c r="K151" i="86"/>
  <c r="D249" i="86"/>
  <c r="K141" i="98"/>
  <c r="L140" i="98"/>
  <c r="G116" i="97"/>
  <c r="H81" i="97"/>
  <c r="G81" i="97" s="1"/>
  <c r="K155" i="98"/>
  <c r="J106" i="98"/>
  <c r="I106" i="98" s="1"/>
  <c r="L201" i="98"/>
  <c r="J201" i="98"/>
  <c r="J200" i="98" s="1"/>
  <c r="H185" i="98" s="1"/>
  <c r="G102" i="97"/>
  <c r="R109" i="97" s="1"/>
  <c r="R103" i="97" s="1"/>
  <c r="J136" i="97"/>
  <c r="H102" i="97" s="1"/>
  <c r="L136" i="97"/>
  <c r="J106" i="97"/>
  <c r="I106" i="97" s="1"/>
  <c r="K155" i="97"/>
  <c r="K136" i="98"/>
  <c r="J102" i="98"/>
  <c r="I102" i="98" s="1"/>
  <c r="R104" i="98"/>
  <c r="R105" i="98" s="1"/>
  <c r="S102" i="98"/>
  <c r="J151" i="98"/>
  <c r="J148" i="98" s="1"/>
  <c r="H105" i="98" s="1"/>
  <c r="L151" i="98"/>
  <c r="I117" i="98"/>
  <c r="J186" i="98"/>
  <c r="I186" i="98" s="1"/>
  <c r="K206" i="98"/>
  <c r="F246" i="86"/>
  <c r="K246" i="86"/>
  <c r="F248" i="86"/>
  <c r="K248" i="86"/>
  <c r="H240" i="98"/>
  <c r="H240" i="97"/>
  <c r="H240" i="86"/>
  <c r="H242" i="98"/>
  <c r="H242" i="97"/>
  <c r="H242" i="86"/>
  <c r="H244" i="98"/>
  <c r="H244" i="97"/>
  <c r="H244" i="86"/>
  <c r="H246" i="98"/>
  <c r="H246" i="97"/>
  <c r="H246" i="86"/>
  <c r="H248" i="97"/>
  <c r="H248" i="98"/>
  <c r="H248" i="86"/>
  <c r="H250" i="98"/>
  <c r="H250" i="97"/>
  <c r="H250" i="86"/>
  <c r="H223" i="98"/>
  <c r="H223" i="97"/>
  <c r="H223" i="86"/>
  <c r="D17" i="66"/>
  <c r="J14" i="62"/>
  <c r="D20" i="66"/>
  <c r="J17" i="62"/>
  <c r="D56" i="66"/>
  <c r="L36" i="62"/>
  <c r="D30" i="13"/>
  <c r="D30" i="86"/>
  <c r="D30" i="98"/>
  <c r="F30" i="13"/>
  <c r="E32" i="13"/>
  <c r="D33" i="97"/>
  <c r="F241" i="98"/>
  <c r="K241" i="98"/>
  <c r="F243" i="98"/>
  <c r="K243" i="98"/>
  <c r="F245" i="98"/>
  <c r="K245" i="98"/>
  <c r="D245" i="98" s="1"/>
  <c r="F247" i="98"/>
  <c r="K247" i="98"/>
  <c r="D247" i="98" s="1"/>
  <c r="F249" i="98"/>
  <c r="K249" i="98"/>
  <c r="D249" i="98" s="1"/>
  <c r="K251" i="98"/>
  <c r="F251" i="98"/>
  <c r="F223" i="98"/>
  <c r="K223" i="98"/>
  <c r="D223" i="98" s="1"/>
  <c r="K141" i="86"/>
  <c r="L140" i="86"/>
  <c r="J206" i="86"/>
  <c r="H186" i="86" s="1"/>
  <c r="L206" i="86"/>
  <c r="K222" i="86"/>
  <c r="F222" i="86"/>
  <c r="E13" i="66"/>
  <c r="D50" i="61"/>
  <c r="K244" i="98"/>
  <c r="F244" i="98"/>
  <c r="F248" i="98"/>
  <c r="K248" i="98"/>
  <c r="D248" i="98" s="1"/>
  <c r="K250" i="98"/>
  <c r="F250" i="98"/>
  <c r="F222" i="98"/>
  <c r="K222" i="98"/>
  <c r="F224" i="98"/>
  <c r="K224" i="98"/>
  <c r="D224" i="98" s="1"/>
  <c r="F101" i="86"/>
  <c r="F79" i="86" s="1"/>
  <c r="L140" i="97"/>
  <c r="H49" i="66"/>
  <c r="H78" i="66" s="1"/>
  <c r="D68" i="98"/>
  <c r="D245" i="86"/>
  <c r="J169" i="98"/>
  <c r="H120" i="98" s="1"/>
  <c r="L169" i="98"/>
  <c r="J151" i="97"/>
  <c r="J148" i="97" s="1"/>
  <c r="H105" i="97" s="1"/>
  <c r="L151" i="97"/>
  <c r="J201" i="97"/>
  <c r="J200" i="97" s="1"/>
  <c r="H185" i="97" s="1"/>
  <c r="L201" i="97"/>
  <c r="F223" i="86"/>
  <c r="K223" i="86"/>
  <c r="F225" i="86"/>
  <c r="K225" i="86"/>
  <c r="F243" i="86"/>
  <c r="K243" i="86"/>
  <c r="F251" i="86"/>
  <c r="K251" i="86"/>
  <c r="H241" i="98"/>
  <c r="H241" i="97"/>
  <c r="H241" i="86"/>
  <c r="H243" i="98"/>
  <c r="H243" i="97"/>
  <c r="H243" i="86"/>
  <c r="H245" i="98"/>
  <c r="H245" i="97"/>
  <c r="H245" i="86"/>
  <c r="H247" i="98"/>
  <c r="H247" i="97"/>
  <c r="H247" i="86"/>
  <c r="H249" i="98"/>
  <c r="H249" i="97"/>
  <c r="H249" i="86"/>
  <c r="H251" i="98"/>
  <c r="H251" i="97"/>
  <c r="H251" i="86"/>
  <c r="H225" i="98"/>
  <c r="H225" i="97"/>
  <c r="H225" i="86"/>
  <c r="D30" i="66"/>
  <c r="J27" i="62"/>
  <c r="D59" i="66"/>
  <c r="J59" i="66" s="1"/>
  <c r="C19" i="13"/>
  <c r="E30" i="13"/>
  <c r="D30" i="97"/>
  <c r="D33" i="86"/>
  <c r="D32" i="13"/>
  <c r="D33" i="98"/>
  <c r="F32" i="13"/>
  <c r="H78" i="98"/>
  <c r="J78" i="98" s="1"/>
  <c r="F78" i="98"/>
  <c r="H78" i="97"/>
  <c r="J78" i="97" s="1"/>
  <c r="F78" i="97"/>
  <c r="F241" i="97"/>
  <c r="K241" i="97"/>
  <c r="F245" i="97"/>
  <c r="K245" i="97"/>
  <c r="F247" i="97"/>
  <c r="K247" i="97"/>
  <c r="K249" i="97"/>
  <c r="F249" i="97"/>
  <c r="F251" i="97"/>
  <c r="K251" i="97"/>
  <c r="F225" i="97"/>
  <c r="K225" i="97"/>
  <c r="J169" i="86"/>
  <c r="H120" i="86" s="1"/>
  <c r="L169" i="86"/>
  <c r="F224" i="86"/>
  <c r="K224" i="86"/>
  <c r="F240" i="86"/>
  <c r="K240" i="86"/>
  <c r="F244" i="86"/>
  <c r="K244" i="86"/>
  <c r="J36" i="62"/>
  <c r="D39" i="66"/>
  <c r="J120" i="97"/>
  <c r="K169" i="97"/>
  <c r="K206" i="97"/>
  <c r="J186" i="97"/>
  <c r="I186" i="97" s="1"/>
  <c r="D21" i="13"/>
  <c r="D22" i="13" s="1"/>
  <c r="E76" i="66"/>
  <c r="F31" i="13"/>
  <c r="D31" i="98"/>
  <c r="F240" i="97"/>
  <c r="K240" i="97"/>
  <c r="F242" i="97"/>
  <c r="K242" i="97"/>
  <c r="K244" i="97"/>
  <c r="F244" i="97"/>
  <c r="F246" i="98"/>
  <c r="K246" i="98"/>
  <c r="K248" i="97"/>
  <c r="F248" i="97"/>
  <c r="F250" i="97"/>
  <c r="K250" i="97"/>
  <c r="F222" i="97"/>
  <c r="K222" i="97"/>
  <c r="G271" i="97"/>
  <c r="F271" i="97"/>
  <c r="F274" i="97" s="1"/>
  <c r="D264" i="97" s="1"/>
  <c r="J102" i="86"/>
  <c r="K136" i="86"/>
  <c r="I102" i="86" s="1"/>
  <c r="S102" i="86"/>
  <c r="R104" i="86"/>
  <c r="R105" i="86" s="1"/>
  <c r="L200" i="86"/>
  <c r="K201" i="86"/>
  <c r="L32" i="62"/>
  <c r="C18" i="13" s="1"/>
  <c r="D242" i="98"/>
  <c r="D250" i="86"/>
  <c r="D225" i="98"/>
  <c r="I80" i="97"/>
  <c r="F101" i="98"/>
  <c r="F79" i="98" s="1"/>
  <c r="J33" i="62"/>
  <c r="J32" i="62" s="1"/>
  <c r="C10" i="13" s="1"/>
  <c r="L9" i="62"/>
  <c r="L19" i="62"/>
  <c r="L23" i="62"/>
  <c r="D72" i="66" s="1"/>
  <c r="J72" i="66" s="1"/>
  <c r="D68" i="97"/>
  <c r="L148" i="86"/>
  <c r="D31" i="13"/>
  <c r="D31" i="86"/>
  <c r="D217" i="97"/>
  <c r="D223" i="97"/>
  <c r="D243" i="97"/>
  <c r="D235" i="97"/>
  <c r="D34" i="66"/>
  <c r="J35" i="66"/>
  <c r="D235" i="86"/>
  <c r="D32" i="86"/>
  <c r="D241" i="86"/>
  <c r="J15" i="66"/>
  <c r="J78" i="86"/>
  <c r="D235" i="98"/>
  <c r="D243" i="98" l="1"/>
  <c r="D241" i="98"/>
  <c r="L18" i="62"/>
  <c r="L50" i="62" s="1"/>
  <c r="C22" i="13" s="1"/>
  <c r="C21" i="13" s="1"/>
  <c r="D250" i="97"/>
  <c r="D248" i="97"/>
  <c r="D246" i="98"/>
  <c r="D244" i="97"/>
  <c r="D244" i="86"/>
  <c r="D249" i="97"/>
  <c r="D251" i="86"/>
  <c r="D243" i="86"/>
  <c r="D225" i="86"/>
  <c r="D223" i="86"/>
  <c r="J105" i="86"/>
  <c r="K148" i="86"/>
  <c r="I105" i="86" s="1"/>
  <c r="J39" i="66"/>
  <c r="D37" i="66"/>
  <c r="J37" i="66" s="1"/>
  <c r="J120" i="86"/>
  <c r="K169" i="86"/>
  <c r="H182" i="97"/>
  <c r="F182" i="97"/>
  <c r="F116" i="98"/>
  <c r="F81" i="98" s="1"/>
  <c r="H116" i="98"/>
  <c r="J103" i="97"/>
  <c r="I103" i="97" s="1"/>
  <c r="K140" i="97"/>
  <c r="D217" i="86"/>
  <c r="D222" i="86"/>
  <c r="H182" i="86"/>
  <c r="F182" i="86"/>
  <c r="J56" i="66"/>
  <c r="D76" i="66"/>
  <c r="J76" i="66" s="1"/>
  <c r="D19" i="66"/>
  <c r="J19" i="66" s="1"/>
  <c r="J20" i="66"/>
  <c r="J17" i="66"/>
  <c r="D16" i="66"/>
  <c r="K151" i="98"/>
  <c r="L148" i="98"/>
  <c r="H101" i="98"/>
  <c r="T102" i="98"/>
  <c r="U102" i="98" s="1"/>
  <c r="J102" i="97"/>
  <c r="K136" i="97"/>
  <c r="S102" i="97"/>
  <c r="T102" i="97" s="1"/>
  <c r="U102" i="97" s="1"/>
  <c r="R104" i="97"/>
  <c r="R105" i="97" s="1"/>
  <c r="L200" i="98"/>
  <c r="K201" i="98"/>
  <c r="K140" i="98"/>
  <c r="J103" i="98"/>
  <c r="I103" i="98" s="1"/>
  <c r="D222" i="97"/>
  <c r="D220" i="97" s="1"/>
  <c r="D218" i="97" s="1"/>
  <c r="D216" i="97" s="1"/>
  <c r="D182" i="97" s="1"/>
  <c r="H127" i="97" s="1"/>
  <c r="D242" i="97"/>
  <c r="D240" i="97"/>
  <c r="D240" i="86"/>
  <c r="D224" i="86"/>
  <c r="D225" i="97"/>
  <c r="D251" i="97"/>
  <c r="D247" i="97"/>
  <c r="D245" i="97"/>
  <c r="D241" i="97"/>
  <c r="D250" i="98"/>
  <c r="D244" i="98"/>
  <c r="D251" i="98"/>
  <c r="D248" i="86"/>
  <c r="D246" i="86"/>
  <c r="J185" i="86"/>
  <c r="K200" i="86"/>
  <c r="T102" i="86"/>
  <c r="U102" i="86" s="1"/>
  <c r="I120" i="97"/>
  <c r="J116" i="97"/>
  <c r="F116" i="86"/>
  <c r="F81" i="86" s="1"/>
  <c r="H116" i="86"/>
  <c r="J30" i="66"/>
  <c r="D29" i="66"/>
  <c r="J29" i="66" s="1"/>
  <c r="L200" i="97"/>
  <c r="K201" i="97"/>
  <c r="K151" i="97"/>
  <c r="L148" i="97"/>
  <c r="J120" i="98"/>
  <c r="K169" i="98"/>
  <c r="D222" i="98"/>
  <c r="D220" i="98" s="1"/>
  <c r="D217" i="98"/>
  <c r="D10" i="98"/>
  <c r="D10" i="97"/>
  <c r="D10" i="86"/>
  <c r="J186" i="86"/>
  <c r="I186" i="86" s="1"/>
  <c r="K206" i="86"/>
  <c r="J103" i="86"/>
  <c r="K140" i="86"/>
  <c r="I103" i="86" s="1"/>
  <c r="F101" i="97"/>
  <c r="F79" i="97" s="1"/>
  <c r="H101" i="97"/>
  <c r="H182" i="98"/>
  <c r="F182" i="98"/>
  <c r="D238" i="86"/>
  <c r="J101" i="86"/>
  <c r="J79" i="86" s="1"/>
  <c r="H101" i="86"/>
  <c r="J11" i="62"/>
  <c r="D236" i="86"/>
  <c r="D234" i="86" s="1"/>
  <c r="D127" i="86" s="1"/>
  <c r="D126" i="86" s="1"/>
  <c r="J34" i="66"/>
  <c r="D33" i="66"/>
  <c r="J33" i="66" s="1"/>
  <c r="D238" i="98" l="1"/>
  <c r="D236" i="98" s="1"/>
  <c r="D234" i="98" s="1"/>
  <c r="D127" i="98" s="1"/>
  <c r="D126" i="98" s="1"/>
  <c r="D238" i="97"/>
  <c r="D236" i="97" s="1"/>
  <c r="D234" i="97" s="1"/>
  <c r="D127" i="97" s="1"/>
  <c r="D126" i="97" s="1"/>
  <c r="H79" i="86"/>
  <c r="G101" i="86"/>
  <c r="G79" i="86" s="1"/>
  <c r="H128" i="98"/>
  <c r="G182" i="98"/>
  <c r="D21" i="97"/>
  <c r="E11" i="13"/>
  <c r="J105" i="97"/>
  <c r="I105" i="97" s="1"/>
  <c r="K148" i="97"/>
  <c r="H81" i="86"/>
  <c r="G116" i="86"/>
  <c r="G81" i="86" s="1"/>
  <c r="J81" i="97"/>
  <c r="I81" i="97" s="1"/>
  <c r="I116" i="97"/>
  <c r="H79" i="98"/>
  <c r="G79" i="98" s="1"/>
  <c r="G101" i="98"/>
  <c r="H128" i="86"/>
  <c r="G182" i="86"/>
  <c r="G182" i="97"/>
  <c r="H128" i="97"/>
  <c r="I120" i="86"/>
  <c r="J116" i="86"/>
  <c r="J81" i="86" s="1"/>
  <c r="D218" i="98"/>
  <c r="D216" i="98" s="1"/>
  <c r="D182" i="98" s="1"/>
  <c r="H127" i="98" s="1"/>
  <c r="I101" i="86"/>
  <c r="I79" i="86" s="1"/>
  <c r="J50" i="62"/>
  <c r="C14" i="13" s="1"/>
  <c r="C11" i="13"/>
  <c r="H79" i="97"/>
  <c r="G79" i="97" s="1"/>
  <c r="G101" i="97"/>
  <c r="D11" i="13"/>
  <c r="D21" i="86"/>
  <c r="F11" i="13"/>
  <c r="D21" i="98"/>
  <c r="I120" i="98"/>
  <c r="J116" i="98"/>
  <c r="J81" i="98" s="1"/>
  <c r="K200" i="97"/>
  <c r="J185" i="97"/>
  <c r="I185" i="86"/>
  <c r="J182" i="86"/>
  <c r="J128" i="86" s="1"/>
  <c r="I128" i="86" s="1"/>
  <c r="J185" i="98"/>
  <c r="K200" i="98"/>
  <c r="J101" i="97"/>
  <c r="J79" i="97" s="1"/>
  <c r="I79" i="97" s="1"/>
  <c r="I102" i="97"/>
  <c r="J105" i="98"/>
  <c r="I105" i="98" s="1"/>
  <c r="K148" i="98"/>
  <c r="J16" i="66"/>
  <c r="D13" i="66"/>
  <c r="H81" i="98"/>
  <c r="G81" i="98" s="1"/>
  <c r="G116" i="98"/>
  <c r="D220" i="86"/>
  <c r="D218" i="86" s="1"/>
  <c r="D216" i="86" s="1"/>
  <c r="D182" i="86" s="1"/>
  <c r="H127" i="86" s="1"/>
  <c r="H83" i="98"/>
  <c r="F83" i="98"/>
  <c r="F77" i="98" s="1"/>
  <c r="H83" i="86"/>
  <c r="F83" i="86"/>
  <c r="F77" i="86" s="1"/>
  <c r="H83" i="97"/>
  <c r="F83" i="97"/>
  <c r="F77" i="97" s="1"/>
  <c r="H126" i="97"/>
  <c r="J127" i="97"/>
  <c r="I116" i="98" l="1"/>
  <c r="J127" i="86"/>
  <c r="H126" i="86"/>
  <c r="I185" i="98"/>
  <c r="J182" i="98"/>
  <c r="I116" i="86"/>
  <c r="I81" i="86" s="1"/>
  <c r="D49" i="66"/>
  <c r="J13" i="66"/>
  <c r="I185" i="97"/>
  <c r="J182" i="97"/>
  <c r="F14" i="13"/>
  <c r="F13" i="13" s="1"/>
  <c r="F21" i="98"/>
  <c r="D14" i="13"/>
  <c r="D13" i="13" s="1"/>
  <c r="F21" i="86"/>
  <c r="E49" i="66"/>
  <c r="E78" i="66" s="1"/>
  <c r="J127" i="98"/>
  <c r="H126" i="98"/>
  <c r="F21" i="97"/>
  <c r="E14" i="13"/>
  <c r="E13" i="13" s="1"/>
  <c r="I81" i="98"/>
  <c r="I101" i="97"/>
  <c r="C13" i="13"/>
  <c r="J101" i="98"/>
  <c r="I182" i="86"/>
  <c r="G126" i="97"/>
  <c r="H82" i="97"/>
  <c r="I127" i="97"/>
  <c r="J83" i="97"/>
  <c r="G83" i="97"/>
  <c r="J83" i="98"/>
  <c r="G83" i="98"/>
  <c r="G83" i="86"/>
  <c r="J83" i="86"/>
  <c r="E24" i="13" l="1"/>
  <c r="F69" i="97"/>
  <c r="D69" i="97" s="1"/>
  <c r="F73" i="97"/>
  <c r="I127" i="98"/>
  <c r="F69" i="86"/>
  <c r="D69" i="86" s="1"/>
  <c r="D24" i="13"/>
  <c r="F73" i="86"/>
  <c r="F69" i="98"/>
  <c r="D69" i="98" s="1"/>
  <c r="F73" i="98"/>
  <c r="F24" i="13"/>
  <c r="J128" i="97"/>
  <c r="I182" i="97"/>
  <c r="I127" i="86"/>
  <c r="J126" i="86"/>
  <c r="J82" i="86" s="1"/>
  <c r="J77" i="86" s="1"/>
  <c r="J79" i="98"/>
  <c r="I101" i="98"/>
  <c r="G126" i="98"/>
  <c r="H82" i="98"/>
  <c r="D78" i="66"/>
  <c r="J78" i="66" s="1"/>
  <c r="J49" i="66"/>
  <c r="J128" i="98"/>
  <c r="I128" i="98" s="1"/>
  <c r="I182" i="98"/>
  <c r="H82" i="86"/>
  <c r="H77" i="86" s="1"/>
  <c r="G126" i="86"/>
  <c r="G82" i="86" s="1"/>
  <c r="I126" i="86"/>
  <c r="I82" i="86" s="1"/>
  <c r="G82" i="97"/>
  <c r="H77" i="97"/>
  <c r="D48" i="13" l="1"/>
  <c r="D116" i="86"/>
  <c r="E29" i="13"/>
  <c r="E28" i="13" s="1"/>
  <c r="D73" i="97"/>
  <c r="D29" i="97"/>
  <c r="D78" i="86"/>
  <c r="J126" i="98"/>
  <c r="G82" i="98"/>
  <c r="H77" i="98"/>
  <c r="I79" i="98"/>
  <c r="I128" i="97"/>
  <c r="J126" i="97"/>
  <c r="D73" i="98"/>
  <c r="F29" i="13"/>
  <c r="F28" i="13" s="1"/>
  <c r="D29" i="98"/>
  <c r="D29" i="86"/>
  <c r="D29" i="13"/>
  <c r="D28" i="13" s="1"/>
  <c r="D73" i="86"/>
  <c r="D116" i="97"/>
  <c r="E48" i="13"/>
  <c r="J82" i="97" l="1"/>
  <c r="I126" i="97"/>
  <c r="F48" i="13"/>
  <c r="D116" i="98"/>
  <c r="J82" i="98"/>
  <c r="I126" i="98"/>
  <c r="G29" i="97"/>
  <c r="G30" i="97" s="1"/>
  <c r="D28" i="97"/>
  <c r="F29" i="97"/>
  <c r="D34" i="97"/>
  <c r="D28" i="86"/>
  <c r="F29" i="86"/>
  <c r="D34" i="86"/>
  <c r="G29" i="86"/>
  <c r="F29" i="98"/>
  <c r="D28" i="98"/>
  <c r="G29" i="98"/>
  <c r="D34" i="98"/>
  <c r="D49" i="13"/>
  <c r="D77" i="86"/>
  <c r="H84" i="86"/>
  <c r="F84" i="86"/>
  <c r="F84" i="97"/>
  <c r="H84" i="97"/>
  <c r="G30" i="86" l="1"/>
  <c r="D42" i="13"/>
  <c r="D37" i="13"/>
  <c r="F30" i="86"/>
  <c r="F84" i="98"/>
  <c r="H84" i="98"/>
  <c r="I82" i="97"/>
  <c r="J77" i="97"/>
  <c r="D78" i="97" s="1"/>
  <c r="G84" i="86"/>
  <c r="J28" i="86"/>
  <c r="D79" i="86"/>
  <c r="J84" i="86"/>
  <c r="D50" i="13" s="1"/>
  <c r="G30" i="98"/>
  <c r="F37" i="13"/>
  <c r="F42" i="13"/>
  <c r="F30" i="98"/>
  <c r="F30" i="97"/>
  <c r="E42" i="13"/>
  <c r="E37" i="13"/>
  <c r="G31" i="97"/>
  <c r="G28" i="97" s="1"/>
  <c r="I33" i="97" s="1"/>
  <c r="I34" i="97" s="1"/>
  <c r="G32" i="97"/>
  <c r="G33" i="97" s="1"/>
  <c r="G34" i="97" s="1"/>
  <c r="J33" i="97" s="1"/>
  <c r="J34" i="97" s="1"/>
  <c r="I82" i="98"/>
  <c r="J77" i="98"/>
  <c r="D78" i="98" s="1"/>
  <c r="J84" i="97"/>
  <c r="E50" i="13" s="1"/>
  <c r="G84" i="97"/>
  <c r="D79" i="97"/>
  <c r="E43" i="13" l="1"/>
  <c r="E38" i="13"/>
  <c r="F268" i="86"/>
  <c r="F269" i="86" s="1"/>
  <c r="F273" i="86" s="1"/>
  <c r="D263" i="86" s="1"/>
  <c r="I28" i="86" s="1"/>
  <c r="D51" i="13"/>
  <c r="D52" i="13"/>
  <c r="D54" i="13" s="1"/>
  <c r="E49" i="13"/>
  <c r="D77" i="97"/>
  <c r="J28" i="97" s="1"/>
  <c r="E51" i="13" s="1"/>
  <c r="G84" i="98"/>
  <c r="J84" i="98"/>
  <c r="F50" i="13" s="1"/>
  <c r="D43" i="13"/>
  <c r="D38" i="13"/>
  <c r="F32" i="86"/>
  <c r="G32" i="86"/>
  <c r="G33" i="86" s="1"/>
  <c r="G31" i="86"/>
  <c r="G28" i="86" s="1"/>
  <c r="I33" i="86" s="1"/>
  <c r="I34" i="86" s="1"/>
  <c r="F49" i="13"/>
  <c r="D77" i="98"/>
  <c r="J28" i="98" s="1"/>
  <c r="D79" i="98"/>
  <c r="F38" i="13"/>
  <c r="F43" i="13"/>
  <c r="G31" i="98"/>
  <c r="G28" i="98" s="1"/>
  <c r="I33" i="98" s="1"/>
  <c r="I34" i="98" s="1"/>
  <c r="G32" i="98"/>
  <c r="G34" i="86"/>
  <c r="J33" i="86" s="1"/>
  <c r="J34" i="86" s="1"/>
  <c r="F268" i="97"/>
  <c r="F269" i="97" s="1"/>
  <c r="F273" i="97" s="1"/>
  <c r="D263" i="97" s="1"/>
  <c r="I28" i="97" s="1"/>
  <c r="F32" i="97"/>
  <c r="F268" i="98" l="1"/>
  <c r="F269" i="98" s="1"/>
  <c r="F273" i="98" s="1"/>
  <c r="D263" i="98" s="1"/>
  <c r="I28" i="98" s="1"/>
  <c r="F51" i="13"/>
  <c r="F32" i="98"/>
  <c r="F52" i="13"/>
  <c r="F54" i="13" s="1"/>
  <c r="D56" i="13"/>
  <c r="F31" i="86"/>
  <c r="D39" i="13"/>
  <c r="F33" i="86"/>
  <c r="D40" i="13" s="1"/>
  <c r="G33" i="98"/>
  <c r="G34" i="98" s="1"/>
  <c r="J33" i="98" s="1"/>
  <c r="J34" i="98" s="1"/>
  <c r="E52" i="13"/>
  <c r="E54" i="13" s="1"/>
  <c r="E56" i="13"/>
  <c r="F31" i="97"/>
  <c r="E39" i="13"/>
  <c r="F33" i="97"/>
  <c r="E40" i="13" s="1"/>
  <c r="F34" i="86" l="1"/>
  <c r="J29" i="86" s="1"/>
  <c r="J30" i="86" s="1"/>
  <c r="F34" i="97"/>
  <c r="J29" i="97" s="1"/>
  <c r="J30" i="97" s="1"/>
  <c r="D44" i="13"/>
  <c r="D41" i="13" s="1"/>
  <c r="D57" i="13" s="1"/>
  <c r="F28" i="86"/>
  <c r="I29" i="86" s="1"/>
  <c r="I30" i="86" s="1"/>
  <c r="F39" i="13"/>
  <c r="F31" i="98"/>
  <c r="F56" i="13"/>
  <c r="D36" i="13"/>
  <c r="D53" i="13" s="1"/>
  <c r="F33" i="98"/>
  <c r="F40" i="13" s="1"/>
  <c r="E36" i="13"/>
  <c r="E53" i="13" s="1"/>
  <c r="E44" i="13"/>
  <c r="E41" i="13" s="1"/>
  <c r="E57" i="13" s="1"/>
  <c r="F28" i="97"/>
  <c r="I29" i="97" s="1"/>
  <c r="I30" i="97" s="1"/>
  <c r="F44" i="13" l="1"/>
  <c r="F41" i="13" s="1"/>
  <c r="F57" i="13" s="1"/>
  <c r="F28" i="98"/>
  <c r="I29" i="98" s="1"/>
  <c r="I30" i="98" s="1"/>
  <c r="F36" i="13"/>
  <c r="F53" i="13" s="1"/>
  <c r="F34" i="98"/>
  <c r="J29" i="98" s="1"/>
  <c r="J30" i="98" s="1"/>
</calcChain>
</file>

<file path=xl/comments1.xml><?xml version="1.0" encoding="utf-8"?>
<comments xmlns="http://schemas.openxmlformats.org/spreadsheetml/2006/main">
  <authors>
    <author>Szerző</author>
  </authors>
  <commentList>
    <comment ref="C48" authorId="0">
      <text>
        <r>
          <rPr>
            <sz val="9"/>
            <color indexed="81"/>
            <rFont val="Tahoma"/>
            <family val="2"/>
          </rPr>
          <t xml:space="preserve">
or initial fund</t>
        </r>
      </text>
    </comment>
    <comment ref="G48" authorId="0">
      <text>
        <r>
          <rPr>
            <sz val="9"/>
            <color indexed="81"/>
            <rFont val="Tahoma"/>
            <family val="2"/>
          </rPr>
          <t xml:space="preserve">
other than debts owed to credit institutions</t>
        </r>
      </text>
    </comment>
    <comment ref="I48" authorId="0">
      <text>
        <r>
          <rPr>
            <sz val="9"/>
            <color indexed="81"/>
            <rFont val="Tahoma"/>
            <family val="2"/>
          </rPr>
          <t xml:space="preserve">
or initial fund</t>
        </r>
      </text>
    </comment>
    <comment ref="M48" authorId="0">
      <text>
        <r>
          <rPr>
            <sz val="9"/>
            <color indexed="81"/>
            <rFont val="Tahoma"/>
            <family val="2"/>
          </rPr>
          <t xml:space="preserve">
other than debts owed to credit institutions</t>
        </r>
      </text>
    </comment>
  </commentList>
</comments>
</file>

<file path=xl/comments2.xml><?xml version="1.0" encoding="utf-8"?>
<comments xmlns="http://schemas.openxmlformats.org/spreadsheetml/2006/main">
  <authors>
    <author>Szerző</author>
  </authors>
  <commentList>
    <comment ref="C35" authorId="0">
      <text>
        <r>
          <rPr>
            <sz val="9"/>
            <color indexed="81"/>
            <rFont val="Tahoma"/>
            <family val="2"/>
          </rPr>
          <t xml:space="preserve">
excluding unit or index-linked assets</t>
        </r>
      </text>
    </comment>
    <comment ref="I37" authorId="0">
      <text>
        <r>
          <rPr>
            <sz val="9"/>
            <color indexed="81"/>
            <rFont val="Tahoma"/>
            <family val="2"/>
          </rPr>
          <t>Including covered bonds</t>
        </r>
      </text>
    </comment>
  </commentList>
</comments>
</file>

<file path=xl/comments3.xml><?xml version="1.0" encoding="utf-8"?>
<comments xmlns="http://schemas.openxmlformats.org/spreadsheetml/2006/main">
  <authors>
    <author>Szerző</author>
  </authors>
  <commentList>
    <comment ref="G19" authorId="0">
      <text>
        <r>
          <rPr>
            <b/>
            <sz val="9"/>
            <color indexed="81"/>
            <rFont val="Tahoma"/>
            <family val="2"/>
          </rPr>
          <t>Szerző:</t>
        </r>
        <r>
          <rPr>
            <sz val="9"/>
            <color indexed="81"/>
            <rFont val="Tahoma"/>
            <family val="2"/>
          </rPr>
          <t xml:space="preserve">
(Excluding health and index-linked and unit-linked)</t>
        </r>
      </text>
    </comment>
    <comment ref="G39" authorId="0">
      <text>
        <r>
          <rPr>
            <b/>
            <sz val="9"/>
            <color indexed="81"/>
            <rFont val="Tahoma"/>
            <family val="2"/>
          </rPr>
          <t>Szerző:</t>
        </r>
        <r>
          <rPr>
            <sz val="9"/>
            <color indexed="81"/>
            <rFont val="Tahoma"/>
            <family val="2"/>
          </rPr>
          <t xml:space="preserve">
 other than debts owed to credit institutions</t>
        </r>
      </text>
    </comment>
    <comment ref="C65" authorId="0">
      <text>
        <r>
          <rPr>
            <sz val="9"/>
            <color indexed="81"/>
            <rFont val="Tahoma"/>
            <family val="2"/>
          </rPr>
          <t xml:space="preserve"> and not already included in Rows 56 to 61</t>
        </r>
      </text>
    </comment>
    <comment ref="C66" authorId="0">
      <text>
        <r>
          <rPr>
            <sz val="9"/>
            <color indexed="81"/>
            <rFont val="Tahoma"/>
            <family val="2"/>
          </rPr>
          <t>and not already included in Rows 56 to 61</t>
        </r>
      </text>
    </comment>
  </commentList>
</comments>
</file>

<file path=xl/comments4.xml><?xml version="1.0" encoding="utf-8"?>
<comments xmlns="http://schemas.openxmlformats.org/spreadsheetml/2006/main">
  <authors>
    <author>Szerző</author>
  </authors>
  <commentList>
    <comment ref="C46" authorId="0">
      <text>
        <r>
          <rPr>
            <sz val="9"/>
            <color indexed="81"/>
            <rFont val="Tahoma"/>
            <family val="2"/>
          </rPr>
          <t xml:space="preserve">
or initial fund</t>
        </r>
      </text>
    </comment>
  </commentList>
</comments>
</file>

<file path=xl/comments5.xml><?xml version="1.0" encoding="utf-8"?>
<comments xmlns="http://schemas.openxmlformats.org/spreadsheetml/2006/main">
  <authors>
    <author>Szerző</author>
  </authors>
  <commentList>
    <comment ref="F76" authorId="0">
      <text>
        <r>
          <rPr>
            <sz val="9"/>
            <color indexed="81"/>
            <rFont val="Tahoma"/>
            <family val="2"/>
          </rPr>
          <t>Total underlying risks exposure without diversification (simple sum)</t>
        </r>
      </text>
    </comment>
    <comment ref="F85" authorId="0">
      <text>
        <r>
          <rPr>
            <sz val="9"/>
            <color indexed="81"/>
            <rFont val="Tahoma"/>
            <family val="2"/>
          </rPr>
          <t xml:space="preserve">
Notional Solvency Capital Requirements for ring fenced funds</t>
        </r>
      </text>
    </comment>
    <comment ref="G85" authorId="0">
      <text>
        <r>
          <rPr>
            <sz val="9"/>
            <color indexed="81"/>
            <rFont val="Tahoma"/>
            <family val="2"/>
          </rPr>
          <t xml:space="preserve">
Diversification within ring fenced funds</t>
        </r>
      </text>
    </comment>
    <comment ref="F100" authorId="0">
      <text>
        <r>
          <rPr>
            <sz val="9"/>
            <color indexed="81"/>
            <rFont val="Tahoma"/>
            <family val="2"/>
          </rPr>
          <t>Total underlying risks exposure without diversification (simple sum)</t>
        </r>
      </text>
    </comment>
    <comment ref="L347" authorId="0">
      <text>
        <r>
          <rPr>
            <b/>
            <sz val="9"/>
            <color indexed="81"/>
            <rFont val="Tahoma"/>
            <family val="2"/>
          </rPr>
          <t>Szerző:</t>
        </r>
        <r>
          <rPr>
            <sz val="9"/>
            <color indexed="81"/>
            <rFont val="Tahoma"/>
            <family val="2"/>
          </rPr>
          <t xml:space="preserve">
If details between paid-in</t>
        </r>
      </text>
    </comment>
  </commentList>
</comments>
</file>

<file path=xl/comments6.xml><?xml version="1.0" encoding="utf-8"?>
<comments xmlns="http://schemas.openxmlformats.org/spreadsheetml/2006/main">
  <authors>
    <author>Szerző</author>
  </authors>
  <commentList>
    <comment ref="F76" authorId="0">
      <text>
        <r>
          <rPr>
            <sz val="9"/>
            <color indexed="81"/>
            <rFont val="Tahoma"/>
            <family val="2"/>
          </rPr>
          <t>Total underlying risks exposure without diversification (simple sum)</t>
        </r>
      </text>
    </comment>
    <comment ref="F85" authorId="0">
      <text>
        <r>
          <rPr>
            <sz val="9"/>
            <color indexed="81"/>
            <rFont val="Tahoma"/>
            <family val="2"/>
          </rPr>
          <t xml:space="preserve">
Notional Solvency Capital Requirements for ring fenced funds</t>
        </r>
      </text>
    </comment>
    <comment ref="G85" authorId="0">
      <text>
        <r>
          <rPr>
            <sz val="9"/>
            <color indexed="81"/>
            <rFont val="Tahoma"/>
            <family val="2"/>
          </rPr>
          <t xml:space="preserve">
Diversification within ring fenced funds</t>
        </r>
      </text>
    </comment>
    <comment ref="F100" authorId="0">
      <text>
        <r>
          <rPr>
            <sz val="9"/>
            <color indexed="81"/>
            <rFont val="Tahoma"/>
            <family val="2"/>
          </rPr>
          <t>Total underlying risks exposure without diversification (simple sum)</t>
        </r>
      </text>
    </comment>
  </commentList>
</comments>
</file>

<file path=xl/comments7.xml><?xml version="1.0" encoding="utf-8"?>
<comments xmlns="http://schemas.openxmlformats.org/spreadsheetml/2006/main">
  <authors>
    <author>Szerző</author>
  </authors>
  <commentList>
    <comment ref="H11" authorId="0">
      <text>
        <r>
          <rPr>
            <b/>
            <sz val="9"/>
            <color indexed="81"/>
            <rFont val="Tahoma"/>
            <family val="2"/>
            <charset val="238"/>
          </rPr>
          <t>basic risk-free interest rate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Szerző</author>
  </authors>
  <commentList>
    <comment ref="F76" authorId="0">
      <text>
        <r>
          <rPr>
            <sz val="9"/>
            <color indexed="81"/>
            <rFont val="Tahoma"/>
            <family val="2"/>
          </rPr>
          <t>Total underlying risks exposure without diversification (simple sum)</t>
        </r>
      </text>
    </comment>
    <comment ref="F85" authorId="0">
      <text>
        <r>
          <rPr>
            <sz val="9"/>
            <color indexed="81"/>
            <rFont val="Tahoma"/>
            <family val="2"/>
          </rPr>
          <t xml:space="preserve">
Notional Solvency Capital Requirements for ring fenced funds</t>
        </r>
      </text>
    </comment>
    <comment ref="G85" authorId="0">
      <text>
        <r>
          <rPr>
            <sz val="9"/>
            <color indexed="81"/>
            <rFont val="Tahoma"/>
            <family val="2"/>
          </rPr>
          <t xml:space="preserve">
Diversification within ring fenced funds</t>
        </r>
      </text>
    </comment>
    <comment ref="F100" authorId="0">
      <text>
        <r>
          <rPr>
            <sz val="9"/>
            <color indexed="81"/>
            <rFont val="Tahoma"/>
            <family val="2"/>
          </rPr>
          <t>Total underlying risks exposure without diversification (simple sum)</t>
        </r>
      </text>
    </comment>
  </commentList>
</comments>
</file>

<file path=xl/sharedStrings.xml><?xml version="1.0" encoding="utf-8"?>
<sst xmlns="http://schemas.openxmlformats.org/spreadsheetml/2006/main" count="15946" uniqueCount="1170">
  <si>
    <t>Assets</t>
  </si>
  <si>
    <t>Statutory accounts value</t>
  </si>
  <si>
    <t>Goodwill</t>
  </si>
  <si>
    <t>Deferred acquisition costs</t>
  </si>
  <si>
    <t>Intangible assets</t>
  </si>
  <si>
    <t>Deferred tax assets</t>
  </si>
  <si>
    <t>Pension benefit surplus</t>
  </si>
  <si>
    <t>Property, plant &amp; equipement held for own use</t>
  </si>
  <si>
    <t>Assets held for index-linked and unit-linked funds</t>
  </si>
  <si>
    <t>Loans &amp; mortgages (except loans on policies)</t>
  </si>
  <si>
    <t>Loans on policies</t>
  </si>
  <si>
    <t>Deposits to cedants</t>
  </si>
  <si>
    <t>Insurance &amp; intermediaries receivables</t>
  </si>
  <si>
    <t>Reinsurance receivables</t>
  </si>
  <si>
    <t>Receivables (trade, not insurance)</t>
  </si>
  <si>
    <t>Own shares</t>
  </si>
  <si>
    <t>Amounts due in respect of own fund items or initial fund called up but not yet paid in</t>
  </si>
  <si>
    <t>Cash and cash equivalents</t>
  </si>
  <si>
    <t>Any other assets, not elsewhere shown</t>
  </si>
  <si>
    <t>Total assets</t>
  </si>
  <si>
    <t>Liabilities</t>
  </si>
  <si>
    <t>Other technical provisions</t>
  </si>
  <si>
    <t>Provisions other than technical provisions</t>
  </si>
  <si>
    <t>Pension benefit obligations</t>
  </si>
  <si>
    <t>Deposits from reinsurers</t>
  </si>
  <si>
    <t>Deferred tax liabilities</t>
  </si>
  <si>
    <t>Derivatives</t>
  </si>
  <si>
    <t>Debts owed to credit institutions</t>
  </si>
  <si>
    <t>Financial liabilities other than debts owed to credit institutions</t>
  </si>
  <si>
    <t>Insurance &amp; intermediaries payables</t>
  </si>
  <si>
    <t>Reinsurance payables</t>
  </si>
  <si>
    <t>Payables (trade, not insurance)</t>
  </si>
  <si>
    <t>Subordinated liabilities not in BOF</t>
  </si>
  <si>
    <t>Subordinated liabilities in BOF</t>
  </si>
  <si>
    <t>Any other liabilities, not elsewhere shown</t>
  </si>
  <si>
    <t>Total liabilities</t>
  </si>
  <si>
    <t>Excess of assets over liabilities</t>
  </si>
  <si>
    <t>Currency</t>
  </si>
  <si>
    <t>EUR</t>
  </si>
  <si>
    <t>GBP</t>
  </si>
  <si>
    <t>NOK</t>
  </si>
  <si>
    <t>Year</t>
  </si>
  <si>
    <t>BGN</t>
  </si>
  <si>
    <t>CZK</t>
  </si>
  <si>
    <t>ISK</t>
  </si>
  <si>
    <t>SEK</t>
  </si>
  <si>
    <t>PLN</t>
  </si>
  <si>
    <t>LVL</t>
  </si>
  <si>
    <t>DKK</t>
  </si>
  <si>
    <t>HUF</t>
  </si>
  <si>
    <t>LTL</t>
  </si>
  <si>
    <t>RON</t>
  </si>
  <si>
    <t>USD</t>
  </si>
  <si>
    <t xml:space="preserve"> TP calculated as a whole</t>
  </si>
  <si>
    <t xml:space="preserve"> Best Estimate</t>
  </si>
  <si>
    <t xml:space="preserve"> Risk margin</t>
  </si>
  <si>
    <t>Solvency Capital Requirement</t>
  </si>
  <si>
    <t>Property</t>
  </si>
  <si>
    <t>Spread</t>
  </si>
  <si>
    <t>Concentration</t>
  </si>
  <si>
    <t>CCP</t>
  </si>
  <si>
    <t>Mortality</t>
  </si>
  <si>
    <t>Longevity</t>
  </si>
  <si>
    <t>Lapse</t>
  </si>
  <si>
    <t>Expense</t>
  </si>
  <si>
    <t>Revision</t>
  </si>
  <si>
    <t>CAT</t>
  </si>
  <si>
    <t>Intangible asset risk</t>
  </si>
  <si>
    <t>Equities</t>
  </si>
  <si>
    <t>Bonds</t>
  </si>
  <si>
    <t>Contingent liabilities</t>
  </si>
  <si>
    <t>SCR</t>
  </si>
  <si>
    <t>Germany</t>
  </si>
  <si>
    <t>France</t>
  </si>
  <si>
    <t>Italy</t>
  </si>
  <si>
    <t>Industrials</t>
  </si>
  <si>
    <t>Government Bonds</t>
  </si>
  <si>
    <t>Investments</t>
  </si>
  <si>
    <t>Corporate bonds, financials, unsecured</t>
  </si>
  <si>
    <t>Corporate bonds, non-financials</t>
  </si>
  <si>
    <t>Structured products (ABS, CDO…)</t>
  </si>
  <si>
    <t>Other investments</t>
  </si>
  <si>
    <t>Other assets</t>
  </si>
  <si>
    <t xml:space="preserve">Operational risk </t>
  </si>
  <si>
    <t>Minimum Capital Requirement</t>
  </si>
  <si>
    <t>MCR</t>
  </si>
  <si>
    <t>Unrated/not relevant</t>
  </si>
  <si>
    <t>Risk margin</t>
  </si>
  <si>
    <t>Scenario 0</t>
  </si>
  <si>
    <t>#</t>
  </si>
  <si>
    <t>_IsComposite ?</t>
  </si>
  <si>
    <t>_WithIMInformation ?</t>
  </si>
  <si>
    <t>Content</t>
  </si>
  <si>
    <t>Participant information</t>
  </si>
  <si>
    <t>Contact information</t>
  </si>
  <si>
    <t>Participant</t>
  </si>
  <si>
    <t>Participant shortname (abbreviation to be used in excel columns headers)</t>
  </si>
  <si>
    <t>Legal form of the participant</t>
  </si>
  <si>
    <t>Date of submission</t>
  </si>
  <si>
    <t>Reporting basis</t>
  </si>
  <si>
    <t>Type of reported insurance data</t>
  </si>
  <si>
    <t>Reporting includes internal model information ?</t>
  </si>
  <si>
    <t>Reporting reference year</t>
  </si>
  <si>
    <t>Reporting currency used</t>
  </si>
  <si>
    <t>Reporting unit used</t>
  </si>
  <si>
    <t>Country</t>
  </si>
  <si>
    <t>First level EEA Supervisor</t>
  </si>
  <si>
    <t>Local registration number</t>
  </si>
  <si>
    <t>Position/Title</t>
  </si>
  <si>
    <t>Phone number</t>
  </si>
  <si>
    <t>e-mail address</t>
  </si>
  <si>
    <t>Millions</t>
  </si>
  <si>
    <t>Factor to k€</t>
  </si>
  <si>
    <t>Name of a contact point for LTGA purposes</t>
  </si>
  <si>
    <t>Balance sheet - Assets</t>
  </si>
  <si>
    <t>Loans &amp; mortgages to individuals</t>
  </si>
  <si>
    <t>Other loans &amp; mortgages</t>
  </si>
  <si>
    <t>Non-life excluding health</t>
  </si>
  <si>
    <t>Health similar to non-life</t>
  </si>
  <si>
    <t>Deposits other than cash equivalents</t>
  </si>
  <si>
    <t>Investment funds</t>
  </si>
  <si>
    <t>Collateralised securities</t>
  </si>
  <si>
    <t>Structured notes</t>
  </si>
  <si>
    <t>Corporate Bonds</t>
  </si>
  <si>
    <t>Participations</t>
  </si>
  <si>
    <t>Property (other than for own use)</t>
  </si>
  <si>
    <t>Health similar to life</t>
  </si>
  <si>
    <t>Life index-linked and unit-linked</t>
  </si>
  <si>
    <t>Balance sheet - Liabilities</t>
  </si>
  <si>
    <t>Subordinated liabilities</t>
  </si>
  <si>
    <t>Best Estimate</t>
  </si>
  <si>
    <t>Tier 2</t>
  </si>
  <si>
    <t>Ordinary Share Capital and related Share Premium Account</t>
  </si>
  <si>
    <t xml:space="preserve">Initial Funds, Members' Contributions or equivalent Basic Own-Fund Items for Mutuals </t>
  </si>
  <si>
    <t>Subordinated mutual member accounts</t>
  </si>
  <si>
    <t>Tier 3</t>
  </si>
  <si>
    <t>Preference shares</t>
  </si>
  <si>
    <t>Surplus funds</t>
  </si>
  <si>
    <t>Ancilliary own funds</t>
  </si>
  <si>
    <t>Eligible own funds to meet the MCR</t>
  </si>
  <si>
    <t>N/A</t>
  </si>
  <si>
    <t>Reclassification (+ addition/-Substraction)</t>
  </si>
  <si>
    <t>Checks</t>
  </si>
  <si>
    <t>Valuation (+ increase/- decrease)</t>
  </si>
  <si>
    <t>Adjustments</t>
  </si>
  <si>
    <t>CorrLife</t>
  </si>
  <si>
    <t>Disability</t>
  </si>
  <si>
    <t>Expenses</t>
  </si>
  <si>
    <t>CorrMkt</t>
  </si>
  <si>
    <t>Interest</t>
  </si>
  <si>
    <t xml:space="preserve">Equity </t>
  </si>
  <si>
    <t>CorrHealth</t>
  </si>
  <si>
    <t>Health SLT</t>
  </si>
  <si>
    <t>Health Non-SLT</t>
  </si>
  <si>
    <t>Health CAT</t>
  </si>
  <si>
    <t>CorrSLTHealth</t>
  </si>
  <si>
    <t>Disability/ morbidity</t>
  </si>
  <si>
    <t>CorrNSLTHealth</t>
  </si>
  <si>
    <t>HealthNSLTpr</t>
  </si>
  <si>
    <t>HealthNSLTlapse</t>
  </si>
  <si>
    <t>CorrNL</t>
  </si>
  <si>
    <t>NLpr</t>
  </si>
  <si>
    <t>NLlapse</t>
  </si>
  <si>
    <t>NLCAT</t>
  </si>
  <si>
    <t>Market risk</t>
  </si>
  <si>
    <t>Counterparty default risk</t>
  </si>
  <si>
    <t>Non-Life underwriting risk</t>
  </si>
  <si>
    <t>Net (of reinsurance) best estimate provisions</t>
  </si>
  <si>
    <t xml:space="preserve">Medical expense insurance and proportional reinsurance </t>
  </si>
  <si>
    <t xml:space="preserve">Income protection insurance and proportional reinsurance </t>
  </si>
  <si>
    <t xml:space="preserve">Workers' compensation insurance and proportional reinsurance </t>
  </si>
  <si>
    <t>Motor vehicle liability insurance and proportional reinsurance</t>
  </si>
  <si>
    <t>Other motor insurance and proportional reinsurance</t>
  </si>
  <si>
    <t>Marine, aviation and transport insurance and proportional reinsurance</t>
  </si>
  <si>
    <t>Fire and other damage to property insurance and proportional reinsurance</t>
  </si>
  <si>
    <t>General liability insurance and proportional reinsurance</t>
  </si>
  <si>
    <t>Credit and suretyship insurance and proportional reinsurance</t>
  </si>
  <si>
    <t>Legal expenses insurance and proportional reinsurance</t>
  </si>
  <si>
    <t>Assistance and its proportional reinsurance</t>
  </si>
  <si>
    <t>Miscellaneous financial loss insurance and proportional reinsurance</t>
  </si>
  <si>
    <t>Non-proportional casualty reinsurance</t>
  </si>
  <si>
    <t>Non-proportional property reinsurance</t>
  </si>
  <si>
    <t xml:space="preserve">Non-proportional marine, aviation and transport reinsurance </t>
  </si>
  <si>
    <t>Non-proportional health reinsurance</t>
  </si>
  <si>
    <t>Net (of reinsurance) capital at risk</t>
  </si>
  <si>
    <t>Capital at risk for all life (re)insurance obligations</t>
  </si>
  <si>
    <t>Obligations with profit participation - guaranteed benefits</t>
  </si>
  <si>
    <t>Obligations with profit participation - future discretionary benefits</t>
  </si>
  <si>
    <t xml:space="preserve">Index-linked and unit-linked obligations </t>
  </si>
  <si>
    <t>Other life (re)insurance obligations</t>
  </si>
  <si>
    <t>Linear formula component for life insurance or reinsurance obligations parameters</t>
  </si>
  <si>
    <t>Factors</t>
  </si>
  <si>
    <t>Other life (re)insurance and health obligations</t>
  </si>
  <si>
    <t xml:space="preserve">Index-linked and unit-linked insurance  obligations </t>
  </si>
  <si>
    <t>Own Funds</t>
  </si>
  <si>
    <t>TOTAL</t>
  </si>
  <si>
    <t>BSCR</t>
  </si>
  <si>
    <t xml:space="preserve">Reinsurance </t>
  </si>
  <si>
    <t>Unit linked investments</t>
  </si>
  <si>
    <t xml:space="preserve">Other </t>
  </si>
  <si>
    <t>Other</t>
  </si>
  <si>
    <t>Solvency ratio</t>
  </si>
  <si>
    <t>Premium based risk component</t>
  </si>
  <si>
    <t>Earned life gross premiums</t>
  </si>
  <si>
    <t>Earned unit-linked life gross premiums</t>
  </si>
  <si>
    <t>Earned non-life gross premiums</t>
  </si>
  <si>
    <t>Earned life gross premiums (previous 12 months)</t>
  </si>
  <si>
    <t>Earned unit-linked life gross premiums (previous 12 months)</t>
  </si>
  <si>
    <t>Earned non-life gross premiums (previous 12 months)</t>
  </si>
  <si>
    <t>Units per EUR</t>
  </si>
  <si>
    <t>EUR per Unit</t>
  </si>
  <si>
    <t>AED</t>
  </si>
  <si>
    <t>United Arab Emirates Dirhams</t>
  </si>
  <si>
    <t>AFN</t>
  </si>
  <si>
    <t>Afghanistan Afghanis</t>
  </si>
  <si>
    <t>ALL</t>
  </si>
  <si>
    <t>Albania Leke</t>
  </si>
  <si>
    <t>ARS</t>
  </si>
  <si>
    <t>Argentina Pesos</t>
  </si>
  <si>
    <t>AUD</t>
  </si>
  <si>
    <t>Australia Dollars</t>
  </si>
  <si>
    <t>BBD</t>
  </si>
  <si>
    <t>Barbados Dollars</t>
  </si>
  <si>
    <t>BDT</t>
  </si>
  <si>
    <t>Bangladesh Taka</t>
  </si>
  <si>
    <t>Bulgaria Leva</t>
  </si>
  <si>
    <t>BHD</t>
  </si>
  <si>
    <t>Bahrain Dinars</t>
  </si>
  <si>
    <t>BMD</t>
  </si>
  <si>
    <t>Bermuda Dollars</t>
  </si>
  <si>
    <t>BRL</t>
  </si>
  <si>
    <t>Brazil Reais</t>
  </si>
  <si>
    <t>BSD</t>
  </si>
  <si>
    <t>Bahamas Dollars</t>
  </si>
  <si>
    <t>CAD</t>
  </si>
  <si>
    <t>Canada Dollars</t>
  </si>
  <si>
    <t>CHF</t>
  </si>
  <si>
    <t>Switzerland Francs</t>
  </si>
  <si>
    <t>CLP</t>
  </si>
  <si>
    <t>Chile Pesos</t>
  </si>
  <si>
    <t>CNY</t>
  </si>
  <si>
    <t>China Yuan Renminbi</t>
  </si>
  <si>
    <t>COP</t>
  </si>
  <si>
    <t>Colombia Pesos</t>
  </si>
  <si>
    <t>CRC</t>
  </si>
  <si>
    <t>Costa Rica Colones</t>
  </si>
  <si>
    <t>Czech Republic Koruny</t>
  </si>
  <si>
    <t>Denmark Kroner</t>
  </si>
  <si>
    <t>DOP</t>
  </si>
  <si>
    <t>Dominican Republic Pesos</t>
  </si>
  <si>
    <t>DZD</t>
  </si>
  <si>
    <t>Algeria Dinars</t>
  </si>
  <si>
    <t>EGP</t>
  </si>
  <si>
    <t>Egypt Pounds</t>
  </si>
  <si>
    <t>Euro</t>
  </si>
  <si>
    <t>FJD</t>
  </si>
  <si>
    <t>Fiji Dollars</t>
  </si>
  <si>
    <t>United Kingdom Pounds</t>
  </si>
  <si>
    <t>HKD</t>
  </si>
  <si>
    <t>Hong Kong Dollars</t>
  </si>
  <si>
    <t>HRK</t>
  </si>
  <si>
    <t>Croatia Kuna</t>
  </si>
  <si>
    <t>Hungary Forint</t>
  </si>
  <si>
    <t>IDR</t>
  </si>
  <si>
    <t>Indonesia Rupiahs</t>
  </si>
  <si>
    <t>ILS</t>
  </si>
  <si>
    <t>Israel New Shekels</t>
  </si>
  <si>
    <t>INR</t>
  </si>
  <si>
    <t>India Rupees</t>
  </si>
  <si>
    <t>IQD</t>
  </si>
  <si>
    <t>Iraq Dinars</t>
  </si>
  <si>
    <t>IRR</t>
  </si>
  <si>
    <t>Iran Rials</t>
  </si>
  <si>
    <t>Iceland Kronur</t>
  </si>
  <si>
    <t>JMD</t>
  </si>
  <si>
    <t>Jamaica Dollars</t>
  </si>
  <si>
    <t>JOD</t>
  </si>
  <si>
    <t>Jordan Dinars</t>
  </si>
  <si>
    <t>JPY</t>
  </si>
  <si>
    <t>Japan Yen</t>
  </si>
  <si>
    <t>KES</t>
  </si>
  <si>
    <t>Kenya Shillings</t>
  </si>
  <si>
    <t>KRW</t>
  </si>
  <si>
    <t>South Korea Won</t>
  </si>
  <si>
    <t>KWD</t>
  </si>
  <si>
    <t>Kuwait Dinars</t>
  </si>
  <si>
    <t>LBP</t>
  </si>
  <si>
    <t>Lebanon Pounds</t>
  </si>
  <si>
    <t>LKR</t>
  </si>
  <si>
    <t>Sri Lanka Rupees</t>
  </si>
  <si>
    <t>Lithuania LItas</t>
  </si>
  <si>
    <t>Latvia Lats</t>
  </si>
  <si>
    <t>MAD</t>
  </si>
  <si>
    <t>Morocco Dirhams</t>
  </si>
  <si>
    <t>MUR</t>
  </si>
  <si>
    <t>Mauritius Rupees</t>
  </si>
  <si>
    <t>MXN</t>
  </si>
  <si>
    <t>Mexico Pesos</t>
  </si>
  <si>
    <t>MYR</t>
  </si>
  <si>
    <t>Malaysia Ringgits</t>
  </si>
  <si>
    <t>Norway Kroner</t>
  </si>
  <si>
    <t>NZD</t>
  </si>
  <si>
    <t>New Zealand Dollars</t>
  </si>
  <si>
    <t>OMR</t>
  </si>
  <si>
    <t>Oman Rials</t>
  </si>
  <si>
    <t>PEN</t>
  </si>
  <si>
    <t>Peru Nuevos Soles</t>
  </si>
  <si>
    <t>PHP</t>
  </si>
  <si>
    <t>Philippines Pesos</t>
  </si>
  <si>
    <t>PKR</t>
  </si>
  <si>
    <t>Pakistan Rupees</t>
  </si>
  <si>
    <t>Poland Zlotych</t>
  </si>
  <si>
    <t>QAR</t>
  </si>
  <si>
    <t>Qatar Riyals</t>
  </si>
  <si>
    <t>Romania New Lei</t>
  </si>
  <si>
    <t>RUB</t>
  </si>
  <si>
    <t>Russia Rubles</t>
  </si>
  <si>
    <t>SAR</t>
  </si>
  <si>
    <t>Saudi Arabia Riyals</t>
  </si>
  <si>
    <t>SDG</t>
  </si>
  <si>
    <t>Sudan Pounds</t>
  </si>
  <si>
    <t>Sweden Kronor</t>
  </si>
  <si>
    <t>SGD</t>
  </si>
  <si>
    <t>Singapore Dollars</t>
  </si>
  <si>
    <t>THB</t>
  </si>
  <si>
    <t>Thailand Baht</t>
  </si>
  <si>
    <t>TND</t>
  </si>
  <si>
    <t>Tunisia Dinars</t>
  </si>
  <si>
    <t>TRY</t>
  </si>
  <si>
    <t>Turkey Lira</t>
  </si>
  <si>
    <t>TTD</t>
  </si>
  <si>
    <t>Trinidad and Tobago Dollars</t>
  </si>
  <si>
    <t>TWD</t>
  </si>
  <si>
    <t>Taiwan New Dollars</t>
  </si>
  <si>
    <t>United States Dollars</t>
  </si>
  <si>
    <t>VEF</t>
  </si>
  <si>
    <t>Venezuela Bolivares Fuertes</t>
  </si>
  <si>
    <t>VND</t>
  </si>
  <si>
    <t>Vietnam Dong</t>
  </si>
  <si>
    <t>ZAR</t>
  </si>
  <si>
    <t>South Africa Rand</t>
  </si>
  <si>
    <t>ZMK</t>
  </si>
  <si>
    <t>Zambia Kwacha</t>
  </si>
  <si>
    <t>Thousands</t>
  </si>
  <si>
    <t>UnitConv</t>
  </si>
  <si>
    <t>Non-life and health similar to non-life</t>
  </si>
  <si>
    <t>Reinsurance recoverables</t>
  </si>
  <si>
    <t>Austria</t>
  </si>
  <si>
    <t>Belgium</t>
  </si>
  <si>
    <t>Cyprus</t>
  </si>
  <si>
    <t>Estonia</t>
  </si>
  <si>
    <t>Finland</t>
  </si>
  <si>
    <t>Greece</t>
  </si>
  <si>
    <t>Luxembourg</t>
  </si>
  <si>
    <t>Malta</t>
  </si>
  <si>
    <t>Netherlands</t>
  </si>
  <si>
    <t>Portugal</t>
  </si>
  <si>
    <t>Slovakia</t>
  </si>
  <si>
    <t>Slovenia</t>
  </si>
  <si>
    <t>United Kingdom</t>
  </si>
  <si>
    <t>India</t>
  </si>
  <si>
    <t>New Zealand</t>
  </si>
  <si>
    <t>Russia</t>
  </si>
  <si>
    <t>Singapore</t>
  </si>
  <si>
    <t>United States of America</t>
  </si>
  <si>
    <t>South Africa</t>
  </si>
  <si>
    <t>Taiwan</t>
  </si>
  <si>
    <t>United Arab Emirates</t>
  </si>
  <si>
    <t>Afghanistan</t>
  </si>
  <si>
    <t>Albania</t>
  </si>
  <si>
    <t>Argentina</t>
  </si>
  <si>
    <t>Australia</t>
  </si>
  <si>
    <t>Barbados</t>
  </si>
  <si>
    <t>Bangladesh</t>
  </si>
  <si>
    <t>Bulgaria</t>
  </si>
  <si>
    <t>Bahrain</t>
  </si>
  <si>
    <t>Bermuda</t>
  </si>
  <si>
    <t>Brazil</t>
  </si>
  <si>
    <t>Bahamas, The</t>
  </si>
  <si>
    <t>Canada</t>
  </si>
  <si>
    <t>Liechtenstein</t>
  </si>
  <si>
    <t>Chile</t>
  </si>
  <si>
    <t>China, People's Republic of</t>
  </si>
  <si>
    <t>Colombia</t>
  </si>
  <si>
    <t>Costa Rica</t>
  </si>
  <si>
    <t>Czech Republic</t>
  </si>
  <si>
    <t>Denmark</t>
  </si>
  <si>
    <t>Dominican Republic</t>
  </si>
  <si>
    <t>Algeria</t>
  </si>
  <si>
    <t>Egypt</t>
  </si>
  <si>
    <t>Fiji</t>
  </si>
  <si>
    <t>Hong Kong</t>
  </si>
  <si>
    <t>Croatia</t>
  </si>
  <si>
    <t>Hungary</t>
  </si>
  <si>
    <t>Indonesia</t>
  </si>
  <si>
    <t>Israel</t>
  </si>
  <si>
    <t>Iraq</t>
  </si>
  <si>
    <t>Iran</t>
  </si>
  <si>
    <t>Iceland</t>
  </si>
  <si>
    <t>Jamaica</t>
  </si>
  <si>
    <t>Jordan</t>
  </si>
  <si>
    <t>Japan</t>
  </si>
  <si>
    <t>Kenya</t>
  </si>
  <si>
    <t>Korea, South</t>
  </si>
  <si>
    <t>Kuwait</t>
  </si>
  <si>
    <t>Lebanon</t>
  </si>
  <si>
    <t>Sri Lanka</t>
  </si>
  <si>
    <t>Lithuania</t>
  </si>
  <si>
    <t>Latvia</t>
  </si>
  <si>
    <t>Morocco</t>
  </si>
  <si>
    <t>Mauritius</t>
  </si>
  <si>
    <t>Mexico</t>
  </si>
  <si>
    <t>Malaysia</t>
  </si>
  <si>
    <t>Norway</t>
  </si>
  <si>
    <t>Oman</t>
  </si>
  <si>
    <t>Peru</t>
  </si>
  <si>
    <t>Philippines</t>
  </si>
  <si>
    <t>Pakistan</t>
  </si>
  <si>
    <t>Poland</t>
  </si>
  <si>
    <t>Qatar</t>
  </si>
  <si>
    <t>Romania</t>
  </si>
  <si>
    <t>Saudi Arabia</t>
  </si>
  <si>
    <t>Sudan</t>
  </si>
  <si>
    <t>Sweden</t>
  </si>
  <si>
    <t>Thailand</t>
  </si>
  <si>
    <t>Tunisia</t>
  </si>
  <si>
    <t>Trinidad and Tobago</t>
  </si>
  <si>
    <t>Venezuela</t>
  </si>
  <si>
    <t>Vietnam</t>
  </si>
  <si>
    <t>Zambia</t>
  </si>
  <si>
    <t>Turkey</t>
  </si>
  <si>
    <t>European Monetary Union</t>
  </si>
  <si>
    <t>Footnotes</t>
  </si>
  <si>
    <t>Corporate bonds</t>
  </si>
  <si>
    <t>Secured</t>
  </si>
  <si>
    <t>Unsecured</t>
  </si>
  <si>
    <t xml:space="preserve"> Financials</t>
  </si>
  <si>
    <t>Other countries</t>
  </si>
  <si>
    <t>Equities - Type 1</t>
  </si>
  <si>
    <t>Equities - Type 2</t>
  </si>
  <si>
    <t>Type 1</t>
  </si>
  <si>
    <t>Type 2</t>
  </si>
  <si>
    <t>CorrCounterparty</t>
  </si>
  <si>
    <t>Medical expense up</t>
  </si>
  <si>
    <t>Medical expense down</t>
  </si>
  <si>
    <t>Concentration scenario, net of mitigation</t>
  </si>
  <si>
    <t>Pandemic scenario, net of risk mitigation</t>
  </si>
  <si>
    <t>Natural catastrophes</t>
  </si>
  <si>
    <t>Man made</t>
  </si>
  <si>
    <t>Excess of Assets over Liabilities</t>
  </si>
  <si>
    <t>Overview</t>
  </si>
  <si>
    <t>Spain</t>
  </si>
  <si>
    <t>EEA countries</t>
  </si>
  <si>
    <t xml:space="preserve">Ireland, Republic of </t>
  </si>
  <si>
    <t>Switzerland</t>
  </si>
  <si>
    <t>Non-EEA countries</t>
  </si>
  <si>
    <t>Current solvency I position</t>
  </si>
  <si>
    <t>Required solvency margin</t>
  </si>
  <si>
    <t>of which non-life part</t>
  </si>
  <si>
    <t>of which life part</t>
  </si>
  <si>
    <t>Available solvency margin</t>
  </si>
  <si>
    <t>Minimum guarantee fund</t>
  </si>
  <si>
    <t>Unit linked</t>
  </si>
  <si>
    <t>Provision for unearned premium</t>
  </si>
  <si>
    <t>Life assurance provision</t>
  </si>
  <si>
    <t>Claims outstanding provisions</t>
  </si>
  <si>
    <t>Provision for bonuses and rebates</t>
  </si>
  <si>
    <t>Equalisation provision</t>
  </si>
  <si>
    <t>Paid up</t>
  </si>
  <si>
    <t>Called up</t>
  </si>
  <si>
    <t>Callable</t>
  </si>
  <si>
    <t>Share premium account</t>
  </si>
  <si>
    <t>Other reserves from accounting balance sheet</t>
  </si>
  <si>
    <t>Other paid in capital instruments</t>
  </si>
  <si>
    <t>of which Dated</t>
  </si>
  <si>
    <t>of which undated with a call option</t>
  </si>
  <si>
    <t>of which Undated with no contractual opportunity to redeem</t>
  </si>
  <si>
    <t>Equalisation provisions</t>
  </si>
  <si>
    <t>of which unit linked liabilities</t>
  </si>
  <si>
    <t>Surplus</t>
  </si>
  <si>
    <t>SII: Total SCR ; SI: Required Solvency Margin</t>
  </si>
  <si>
    <t>of which Tier 2</t>
  </si>
  <si>
    <t>of which Tier 3</t>
  </si>
  <si>
    <t>Eligible own funds to meet the SCR (SII); Required Solvency Margin (SI)</t>
  </si>
  <si>
    <t>Basic Own Funds</t>
  </si>
  <si>
    <t>Summary of results (concise balance sheet, own funds and SCR)</t>
  </si>
  <si>
    <t>Totals</t>
  </si>
  <si>
    <t>non-life</t>
  </si>
  <si>
    <t>health (similar to non-life)</t>
  </si>
  <si>
    <t>health (similar to life)</t>
  </si>
  <si>
    <t>life - with profit sharing</t>
  </si>
  <si>
    <t>life - without profit sharing</t>
  </si>
  <si>
    <t>index-linked and unit-linked</t>
  </si>
  <si>
    <t>Summary of Technical Provisions (only Best Estimate)</t>
  </si>
  <si>
    <r>
      <t xml:space="preserve">EEA countries 
</t>
    </r>
    <r>
      <rPr>
        <sz val="11"/>
        <color theme="1"/>
        <rFont val="Calibri"/>
        <family val="2"/>
        <scheme val="minor"/>
      </rPr>
      <t>(bonds denominated in the currency of the country of issue)</t>
    </r>
  </si>
  <si>
    <r>
      <t xml:space="preserve">EEA countries 
</t>
    </r>
    <r>
      <rPr>
        <sz val="11"/>
        <color theme="1"/>
        <rFont val="Calibri"/>
        <family val="2"/>
        <scheme val="minor"/>
      </rPr>
      <t>(bonds denominated in other currency than the currency of the country of issue)</t>
    </r>
  </si>
  <si>
    <t>Non EEA</t>
  </si>
  <si>
    <t>EEA</t>
  </si>
  <si>
    <t>SII: Best estimate of insurance liabilities; SI: insurance liabilities (1)</t>
  </si>
  <si>
    <t>(1) TP calculated as a whole are also included in this total</t>
  </si>
  <si>
    <r>
      <t xml:space="preserve">Technical provisions - non-life (excluding health) </t>
    </r>
    <r>
      <rPr>
        <i/>
        <sz val="8"/>
        <rFont val="Arial"/>
        <family val="2"/>
      </rPr>
      <t>(1)</t>
    </r>
  </si>
  <si>
    <r>
      <t xml:space="preserve">Technical provisions - health (similar to life) </t>
    </r>
    <r>
      <rPr>
        <i/>
        <sz val="8"/>
        <rFont val="Arial"/>
        <family val="2"/>
      </rPr>
      <t>(1)</t>
    </r>
  </si>
  <si>
    <r>
      <t xml:space="preserve">Technical provisions - life - without profit sharing (excluding health and index-linked and unit-linked) </t>
    </r>
    <r>
      <rPr>
        <i/>
        <sz val="8"/>
        <rFont val="Arial"/>
        <family val="2"/>
      </rPr>
      <t>(1)</t>
    </r>
  </si>
  <si>
    <r>
      <t xml:space="preserve">Technical provisions - index-linked and unit-linked </t>
    </r>
    <r>
      <rPr>
        <i/>
        <sz val="8"/>
        <rFont val="Arial"/>
        <family val="2"/>
      </rPr>
      <t>(1)</t>
    </r>
  </si>
  <si>
    <t>Life</t>
  </si>
  <si>
    <t>Surplus funds (*)</t>
  </si>
  <si>
    <t>Net SCR approximation</t>
  </si>
  <si>
    <t>_IsNetSCREstimated ?</t>
  </si>
  <si>
    <t>Life and health similar to life, excluding index-linked and unit-linked</t>
  </si>
  <si>
    <t>90 and up</t>
  </si>
  <si>
    <t>Own funds from the financial statements that should not be represented by the reconciliation reserve and do not meet the criteria to be classified as Solvency II own fund</t>
  </si>
  <si>
    <t>Own shares (included as assets on the balance sheet) (-)</t>
  </si>
  <si>
    <t>Other basic own fund items (-)</t>
  </si>
  <si>
    <t>Forseeable dividends and distributions (-)</t>
  </si>
  <si>
    <t>Total</t>
  </si>
  <si>
    <t>Health</t>
  </si>
  <si>
    <t>Non-Life</t>
  </si>
  <si>
    <t>Gross</t>
  </si>
  <si>
    <t>Net</t>
  </si>
  <si>
    <t>Solo</t>
  </si>
  <si>
    <t>Others exposures</t>
  </si>
  <si>
    <t>-</t>
  </si>
  <si>
    <t>Non proportional property reinsurance</t>
  </si>
  <si>
    <t>Sheet</t>
  </si>
  <si>
    <t>GoTo</t>
  </si>
  <si>
    <t>This sheet</t>
  </si>
  <si>
    <t>P.Index</t>
  </si>
  <si>
    <t>Explanations on the structure and content of this spreadsheet</t>
  </si>
  <si>
    <t>P.Readme</t>
  </si>
  <si>
    <t>1. Participant information</t>
  </si>
  <si>
    <t>Overview of results</t>
  </si>
  <si>
    <t>Technical provisions</t>
  </si>
  <si>
    <t>MA</t>
  </si>
  <si>
    <t>No</t>
  </si>
  <si>
    <t>Transitional</t>
  </si>
  <si>
    <t>Yes</t>
  </si>
  <si>
    <t>Paid-in</t>
  </si>
  <si>
    <t>None</t>
  </si>
  <si>
    <t>Not filled</t>
  </si>
  <si>
    <t>Main results</t>
  </si>
  <si>
    <t>Filled</t>
  </si>
  <si>
    <t>Total balance sheet value</t>
  </si>
  <si>
    <t>Other liabilities</t>
  </si>
  <si>
    <t>Own funds</t>
  </si>
  <si>
    <t>SCR.1.32</t>
  </si>
  <si>
    <t xml:space="preserve">          j</t>
  </si>
  <si>
    <t>Market</t>
  </si>
  <si>
    <t>Default</t>
  </si>
  <si>
    <t>Exposure</t>
  </si>
  <si>
    <t>Diversif.</t>
  </si>
  <si>
    <t>Gross risk</t>
  </si>
  <si>
    <t>Adj.</t>
  </si>
  <si>
    <t>Net risk</t>
  </si>
  <si>
    <t>Risk module</t>
  </si>
  <si>
    <t>i</t>
  </si>
  <si>
    <t>Health risk</t>
  </si>
  <si>
    <t>Magnitude of the DT shock</t>
  </si>
  <si>
    <t>Operational risk</t>
  </si>
  <si>
    <t>Post stress net deferred taxes</t>
  </si>
  <si>
    <t>Deferred taxes adjustment (AdjDT)</t>
  </si>
  <si>
    <t>Basic Solvency Capital Requirement (BSCR)</t>
  </si>
  <si>
    <t>Total adjustment for loss absorbency</t>
  </si>
  <si>
    <t>Capital requirement for Intangible asset risk</t>
  </si>
  <si>
    <t>Capital requirement for Market risks</t>
  </si>
  <si>
    <t>Counter-cyclical premium</t>
  </si>
  <si>
    <t>SCR.4.4</t>
  </si>
  <si>
    <t>Risk-Module level value</t>
  </si>
  <si>
    <t>Risk-Module level values</t>
  </si>
  <si>
    <t>"A" param</t>
  </si>
  <si>
    <t>Interest rate risk</t>
  </si>
  <si>
    <t>Equity risk</t>
  </si>
  <si>
    <t>Property risk</t>
  </si>
  <si>
    <t>Spread risk</t>
  </si>
  <si>
    <t>Currency risk</t>
  </si>
  <si>
    <t>Concentration risk</t>
  </si>
  <si>
    <t>Capital requirement for Operational risk</t>
  </si>
  <si>
    <t>Stress on Mortality</t>
  </si>
  <si>
    <t>Stress on Longevity</t>
  </si>
  <si>
    <t>Stress on Disability</t>
  </si>
  <si>
    <t>TP based risk component</t>
  </si>
  <si>
    <t>Capital requirement for Counterparty default risk</t>
  </si>
  <si>
    <t>SCR for counterparty default risk of type 1</t>
  </si>
  <si>
    <t>SCR for counterparty default risk of type 2</t>
  </si>
  <si>
    <t>SCR.2.9</t>
  </si>
  <si>
    <t>Without LAC</t>
  </si>
  <si>
    <t>Scenario based stressed values</t>
  </si>
  <si>
    <t>With LAC</t>
  </si>
  <si>
    <t>Stress scenario</t>
  </si>
  <si>
    <t>Interest rates risk values</t>
  </si>
  <si>
    <t>Equity risk values</t>
  </si>
  <si>
    <t>Property stress and risk values</t>
  </si>
  <si>
    <t>Spread risk values</t>
  </si>
  <si>
    <t>Spread on bonds and loans</t>
  </si>
  <si>
    <t>Spread on repackaged loans</t>
  </si>
  <si>
    <t>Spread on credit derivatives</t>
  </si>
  <si>
    <t>Scenario kept for credit derivatives</t>
  </si>
  <si>
    <t>Upward shock on credit derivatives</t>
  </si>
  <si>
    <t>Downward shock on credit derivatives</t>
  </si>
  <si>
    <t>Currency risk values</t>
  </si>
  <si>
    <t>Concentration risk values</t>
  </si>
  <si>
    <t>Life underwriting risk</t>
  </si>
  <si>
    <t>Adjustments for loss absorbency (Adj)</t>
  </si>
  <si>
    <t>Adjustment for loss absorbency (AdjTP)</t>
  </si>
  <si>
    <t>of Directive 2003/41/EC (transitional)</t>
  </si>
  <si>
    <t xml:space="preserve">Requirement for op. in accordance with Art. 4 </t>
  </si>
  <si>
    <t>Overall Surplus (+) / Shortfall (-)</t>
  </si>
  <si>
    <t>Available</t>
  </si>
  <si>
    <t>Eligible</t>
  </si>
  <si>
    <t>Coverage ratio</t>
  </si>
  <si>
    <t>Total to meet MCR</t>
  </si>
  <si>
    <t>Total to meet SCR</t>
  </si>
  <si>
    <t>Ring fenced funds (based on Notional SCR)</t>
  </si>
  <si>
    <t>SCR.5.5</t>
  </si>
  <si>
    <t>Used A factor:</t>
  </si>
  <si>
    <t>Main results of the capital requirements according to the standard formula defined in the LTGA technical specifications (Part 1)</t>
  </si>
  <si>
    <t>Premium  &amp; Reserve risk</t>
  </si>
  <si>
    <t>SubRisk-Module level value</t>
  </si>
  <si>
    <t>SubRisk-Module level values</t>
  </si>
  <si>
    <t>Health NSLT</t>
  </si>
  <si>
    <t>Stress on the equity  Type 1</t>
  </si>
  <si>
    <t>Stress on the equity  Type 2</t>
  </si>
  <si>
    <t>Stress on Disability - Morbidity</t>
  </si>
  <si>
    <t>Stress on lapse</t>
  </si>
  <si>
    <t>Scenario retained for lapse risk</t>
  </si>
  <si>
    <t>Lapse risk - lapse up</t>
  </si>
  <si>
    <t>Lapse risk - lapse down</t>
  </si>
  <si>
    <t>Lapse risk - mass</t>
  </si>
  <si>
    <t>Lapse option</t>
  </si>
  <si>
    <t>Capital requirement for non-SLT health risk</t>
  </si>
  <si>
    <t>Tech. Prov. for life obligations</t>
  </si>
  <si>
    <t>Tech. Prov. for life obligations - UL</t>
  </si>
  <si>
    <t>Tech. Prov. for non-life obligations</t>
  </si>
  <si>
    <t>Medical expenses</t>
  </si>
  <si>
    <t>Scenario kept for medical expenses</t>
  </si>
  <si>
    <t>Income protection</t>
  </si>
  <si>
    <t>Assets held for unit-linked</t>
  </si>
  <si>
    <t>Life with profit sharing</t>
  </si>
  <si>
    <t>Life without profit sharing</t>
  </si>
  <si>
    <t>Index-linked and unit-linked</t>
  </si>
  <si>
    <t>As a whole</t>
  </si>
  <si>
    <t>BE</t>
  </si>
  <si>
    <t>RM</t>
  </si>
  <si>
    <t>Part shared accross scenarios</t>
  </si>
  <si>
    <t>Ring-fencing restrictions</t>
  </si>
  <si>
    <t>Tier 1 (Un.)</t>
  </si>
  <si>
    <t>Tier 1 (r )</t>
  </si>
  <si>
    <t>Local calculations</t>
  </si>
  <si>
    <t>Input data in this sheet</t>
  </si>
  <si>
    <t>Capital requirement for life underwriting risks</t>
  </si>
  <si>
    <t>Capital requirement for health risks</t>
  </si>
  <si>
    <t>Capital requirement for non-life risks</t>
  </si>
  <si>
    <t>Annual expenses for UL (12 months)</t>
  </si>
  <si>
    <t>Alphas</t>
  </si>
  <si>
    <t>Betas</t>
  </si>
  <si>
    <t>Net BE</t>
  </si>
  <si>
    <t>Net premium (last 12 M)</t>
  </si>
  <si>
    <t>Composite</t>
  </si>
  <si>
    <t>Scenario balance sheet assets</t>
  </si>
  <si>
    <t>Other (CCP)</t>
  </si>
  <si>
    <t>MA Ext</t>
  </si>
  <si>
    <t>Future</t>
  </si>
  <si>
    <t>Scenario balance sheet liabilities</t>
  </si>
  <si>
    <t>Non-life</t>
  </si>
  <si>
    <t>Health (non-life)</t>
  </si>
  <si>
    <t>Health (similar to life)</t>
  </si>
  <si>
    <t>Life w/out profit sharing</t>
  </si>
  <si>
    <t>Index/Unit-linked</t>
  </si>
  <si>
    <t>Details of available  own funds</t>
  </si>
  <si>
    <t>Net DTA</t>
  </si>
  <si>
    <t>Capital requirements [standard formula]</t>
  </si>
  <si>
    <t>Capital requirements [internal model]</t>
  </si>
  <si>
    <t>of which Tier 1, unrestricted</t>
  </si>
  <si>
    <t>of which Tier 1, restricted</t>
  </si>
  <si>
    <t>Meeting of capital requirements</t>
  </si>
  <si>
    <t>Elig. [IM]</t>
  </si>
  <si>
    <t>Transitional included in MA</t>
  </si>
  <si>
    <t>Modified duration of assets (in years)</t>
  </si>
  <si>
    <t>Modified duration of liabilities (in years)</t>
  </si>
  <si>
    <t>Fundamental spread</t>
  </si>
  <si>
    <t>Additional information on the balance sheet</t>
  </si>
  <si>
    <t>Total future discretionary benefits (FDB)</t>
  </si>
  <si>
    <t>Reinsurance / SPV recoverables</t>
  </si>
  <si>
    <t>Reinsurance share of FDB</t>
  </si>
  <si>
    <t>Data shared across scenarios</t>
  </si>
  <si>
    <t>Links</t>
  </si>
  <si>
    <t>Status of this scenario sheet:</t>
  </si>
  <si>
    <t>Net FDB</t>
  </si>
  <si>
    <t>LAC_TP/FDB</t>
  </si>
  <si>
    <t>Q: Kind of internal model information used</t>
  </si>
  <si>
    <t>Diversification with standard formula</t>
  </si>
  <si>
    <t>SCR calculated with the PIM</t>
  </si>
  <si>
    <t>Basic own funds</t>
  </si>
  <si>
    <t>BS</t>
  </si>
  <si>
    <t>BS+</t>
  </si>
  <si>
    <t>2. Financial position under the current regime</t>
  </si>
  <si>
    <t>Reconciliation of Solvency I and Scenario 0 balance sheets</t>
  </si>
  <si>
    <t>SI</t>
  </si>
  <si>
    <t>By lines of business</t>
  </si>
  <si>
    <t>By LTG buckets</t>
  </si>
  <si>
    <t>Health (NL)</t>
  </si>
  <si>
    <t>health (SLT)</t>
  </si>
  <si>
    <t>Life WP</t>
  </si>
  <si>
    <t>UL</t>
  </si>
  <si>
    <t>FDB</t>
  </si>
  <si>
    <t>Used adapted technical specifications (Part I)</t>
  </si>
  <si>
    <t>Used adapted technical specifications (Part II)</t>
  </si>
  <si>
    <t>IT</t>
  </si>
  <si>
    <t>Value reported in the balance sheet</t>
  </si>
  <si>
    <t>Net deferred taxes asset</t>
  </si>
  <si>
    <t>Covered ?</t>
  </si>
  <si>
    <t>Art 4 of Directive 2003/41/EC</t>
  </si>
  <si>
    <t>Ring fenced funds</t>
  </si>
  <si>
    <t>Other risk 1</t>
  </si>
  <si>
    <t>Risk covered</t>
  </si>
  <si>
    <t>Standard formula used</t>
  </si>
  <si>
    <t>SCR calculated with the standard formula</t>
  </si>
  <si>
    <t>Other risk 2</t>
  </si>
  <si>
    <t>Other risk 3</t>
  </si>
  <si>
    <t>Other risk 4</t>
  </si>
  <si>
    <t>Other risk 5</t>
  </si>
  <si>
    <t>Other risk 6</t>
  </si>
  <si>
    <t>Other risk 7</t>
  </si>
  <si>
    <t>Other risk 8</t>
  </si>
  <si>
    <t>Other risk 9</t>
  </si>
  <si>
    <t>Other risk 10</t>
  </si>
  <si>
    <t>Other risk 11</t>
  </si>
  <si>
    <t>Other risk 12</t>
  </si>
  <si>
    <t>Agregation of PIM risks based on linear correlation ?</t>
  </si>
  <si>
    <t>Comparability of IM risk components with standard formula</t>
  </si>
  <si>
    <t>Risks value</t>
  </si>
  <si>
    <t>CorrScr</t>
  </si>
  <si>
    <t>of which Tier 1 unrestricted</t>
  </si>
  <si>
    <t>of which Tier 1 restricted</t>
  </si>
  <si>
    <t>Status of scenario</t>
  </si>
  <si>
    <t>Link to scenario details</t>
  </si>
  <si>
    <t>Pre-stress values</t>
  </si>
  <si>
    <t>Market risk components</t>
  </si>
  <si>
    <t xml:space="preserve"> SLT health risk components</t>
  </si>
  <si>
    <t>SLT health sub-risk</t>
  </si>
  <si>
    <t>Notional Non-Life</t>
  </si>
  <si>
    <t>Notional Life</t>
  </si>
  <si>
    <t>I - Scenario summary</t>
  </si>
  <si>
    <t>Ancillary own funds</t>
  </si>
  <si>
    <t>On TP</t>
  </si>
  <si>
    <t>On SCR</t>
  </si>
  <si>
    <t xml:space="preserve">Investments (neither unit-linked nor index-linked) </t>
  </si>
  <si>
    <t>Technical provisions - life - with profit sharing</t>
  </si>
  <si>
    <t>Technical provisions - health (non similar to life)</t>
  </si>
  <si>
    <t>Financial liabilities</t>
  </si>
  <si>
    <t>Life excluding health SLT, index-linked and unit-linked</t>
  </si>
  <si>
    <t>Preference shares and related Share Premium Account</t>
  </si>
  <si>
    <t>Unrestricted Tier 1</t>
  </si>
  <si>
    <t>Restricted Tier 1</t>
  </si>
  <si>
    <t>Other items grandfathered not classified as liabilities</t>
  </si>
  <si>
    <t>Other items grandfathered classified as liabilities</t>
  </si>
  <si>
    <t>Adjustments for participations (-)</t>
  </si>
  <si>
    <t>CAT risk component</t>
  </si>
  <si>
    <t>Total used in the Scenario sheets</t>
  </si>
  <si>
    <t>Ancilliary own funds (used in Scenario sheets)</t>
  </si>
  <si>
    <t>3. Capital requirements</t>
  </si>
  <si>
    <t>a) If there was no CCP</t>
  </si>
  <si>
    <t>b) If the CCP application would be restricted to liabilities with a duration &gt; 7 years</t>
  </si>
  <si>
    <t>Participating entity information</t>
  </si>
  <si>
    <t>II_2</t>
  </si>
  <si>
    <t>SCR.2.3</t>
  </si>
  <si>
    <t>SCR.5.43</t>
  </si>
  <si>
    <t>SCR.5.23</t>
  </si>
  <si>
    <t>SCR.1.8</t>
  </si>
  <si>
    <t>SCR.2.4</t>
  </si>
  <si>
    <t>SCR.2.17</t>
  </si>
  <si>
    <t>SCR.2.14</t>
  </si>
  <si>
    <t>SCR.5.34</t>
  </si>
  <si>
    <t>SCR.5.33</t>
  </si>
  <si>
    <t>On TP&gt;&gt;MA</t>
  </si>
  <si>
    <t>CorrIndex</t>
  </si>
  <si>
    <t>Risk margin according to the internal model</t>
  </si>
  <si>
    <t>Spread risk in market risk</t>
  </si>
  <si>
    <t>SCR.6.13</t>
  </si>
  <si>
    <t>Default pre-strss values for scenario based stresses</t>
  </si>
  <si>
    <t>Pre-stress assets</t>
  </si>
  <si>
    <t>Pre-stress liabilities</t>
  </si>
  <si>
    <t>AT</t>
  </si>
  <si>
    <t>BG</t>
  </si>
  <si>
    <t>CY</t>
  </si>
  <si>
    <t>CZ</t>
  </si>
  <si>
    <t>DK</t>
  </si>
  <si>
    <t>EE</t>
  </si>
  <si>
    <t>FI</t>
  </si>
  <si>
    <t>FR</t>
  </si>
  <si>
    <t>DE</t>
  </si>
  <si>
    <t>GR</t>
  </si>
  <si>
    <t>HU</t>
  </si>
  <si>
    <t>IS</t>
  </si>
  <si>
    <t>IE</t>
  </si>
  <si>
    <t>LV</t>
  </si>
  <si>
    <t>LI</t>
  </si>
  <si>
    <t>LT</t>
  </si>
  <si>
    <t>LU</t>
  </si>
  <si>
    <t>MT</t>
  </si>
  <si>
    <t>NL</t>
  </si>
  <si>
    <t>NO</t>
  </si>
  <si>
    <t>PL</t>
  </si>
  <si>
    <t>PT</t>
  </si>
  <si>
    <t>RO</t>
  </si>
  <si>
    <t>SK</t>
  </si>
  <si>
    <t>ES</t>
  </si>
  <si>
    <t>SE</t>
  </si>
  <si>
    <t>GB</t>
  </si>
  <si>
    <t>Reinsurance</t>
  </si>
  <si>
    <t>Captive</t>
  </si>
  <si>
    <t>Current accounting basis</t>
  </si>
  <si>
    <t>IFRS</t>
  </si>
  <si>
    <t>Local GAAP</t>
  </si>
  <si>
    <t>Accounting balance sheet</t>
  </si>
  <si>
    <t>Specific balance sheet</t>
  </si>
  <si>
    <t>Country of incorporation</t>
  </si>
  <si>
    <t>Authorized as a composite undertaking ?</t>
  </si>
  <si>
    <t>Used balance sheet in current supervisory reporting</t>
  </si>
  <si>
    <t>Internal models</t>
  </si>
  <si>
    <t>Effect on Tier 1. (unr.)</t>
  </si>
  <si>
    <t>of using the risk margin</t>
  </si>
  <si>
    <t>from IM</t>
  </si>
  <si>
    <t>OF.53</t>
  </si>
  <si>
    <t>OF.54</t>
  </si>
  <si>
    <t>OF.56</t>
  </si>
  <si>
    <t>OF.52</t>
  </si>
  <si>
    <t>OF.41</t>
  </si>
  <si>
    <t>OF.48</t>
  </si>
  <si>
    <t>OF.50</t>
  </si>
  <si>
    <t>SCR.5.70</t>
  </si>
  <si>
    <t>Currency stress upward (sum over currencies)</t>
  </si>
  <si>
    <t>Currency stress downward (sum)</t>
  </si>
  <si>
    <t>SCR.5.6</t>
  </si>
  <si>
    <t>Scenario used for CorrMkt determination</t>
  </si>
  <si>
    <t>Equity risk under article 304</t>
  </si>
  <si>
    <t>Equity risk on other assets and liabilities</t>
  </si>
  <si>
    <t>Mass accident, net of mitigation</t>
  </si>
  <si>
    <t>SCR.8.97</t>
  </si>
  <si>
    <t>Partial</t>
  </si>
  <si>
    <t>Full</t>
  </si>
  <si>
    <t>SCR.9.8</t>
  </si>
  <si>
    <t>SCR.9.16</t>
  </si>
  <si>
    <t>Volume measure</t>
  </si>
  <si>
    <t>Combined standard deviation</t>
  </si>
  <si>
    <t>Segment</t>
  </si>
  <si>
    <t>SCR.9.43</t>
  </si>
  <si>
    <t>SCR.3.6</t>
  </si>
  <si>
    <t>Solvency I</t>
  </si>
  <si>
    <t>_SingleBS</t>
  </si>
  <si>
    <r>
      <t>V</t>
    </r>
    <r>
      <rPr>
        <vertAlign val="subscript"/>
        <sz val="10"/>
        <rFont val="Times New Roman"/>
        <family val="1"/>
      </rPr>
      <t>prem</t>
    </r>
  </si>
  <si>
    <t>DIVlob</t>
  </si>
  <si>
    <t>Premium</t>
  </si>
  <si>
    <t>Reserve</t>
  </si>
  <si>
    <t>Standard deviation</t>
  </si>
  <si>
    <t>Standard deviation for premium risk</t>
  </si>
  <si>
    <t>Motor vehicle liability</t>
  </si>
  <si>
    <t>Motor, other classes</t>
  </si>
  <si>
    <t>Marine, aviation, transport (MAT)</t>
  </si>
  <si>
    <t>Fire and other property damage</t>
  </si>
  <si>
    <t>Third-party liability</t>
  </si>
  <si>
    <t>Credit and suretyship</t>
  </si>
  <si>
    <t>Legal expenses</t>
  </si>
  <si>
    <t>Assistance</t>
  </si>
  <si>
    <t>Miscellaneous</t>
  </si>
  <si>
    <t>1: Motor vehicle liability</t>
  </si>
  <si>
    <t>2: Other motor</t>
  </si>
  <si>
    <t>3: MAT</t>
  </si>
  <si>
    <t>4: Fire</t>
  </si>
  <si>
    <t>5: 3rd party liability</t>
  </si>
  <si>
    <t>6: Credit</t>
  </si>
  <si>
    <t>7: Legal exp.</t>
  </si>
  <si>
    <t>8: Assistance</t>
  </si>
  <si>
    <t>9: Miscellaneous.</t>
  </si>
  <si>
    <t>Form of adjustment</t>
  </si>
  <si>
    <t>BE in balance sheet</t>
  </si>
  <si>
    <t>MA: Extended</t>
  </si>
  <si>
    <t>d) If assets under the "extended" MA are invested in an hypothetical portfolio</t>
  </si>
  <si>
    <t>e) Netting shortfalls and surpluses for the "extended" MA application ratio calculation</t>
  </si>
  <si>
    <t>c) If the "classic" MA was subject to alternative conditions</t>
  </si>
  <si>
    <t>II - Sensitivities</t>
  </si>
  <si>
    <t>On 
Own Funds</t>
  </si>
  <si>
    <t>k) If f) till j) apply simultaneously</t>
  </si>
  <si>
    <t>g) If a fixed cash flow requirement was to be applied to the "extended" alternative MA</t>
  </si>
  <si>
    <t>f) If a strict cash flow requirement was to be applied to the "extended" alternative MA</t>
  </si>
  <si>
    <t>Please provide an estimation of the relative impact on your financial position:</t>
  </si>
  <si>
    <t>j) If the "extended" alternative MA was done with the extended MA conditions for MA level</t>
  </si>
  <si>
    <t>i) If the "extended" alternative MA was done with the extended MA conditions for liabilities</t>
  </si>
  <si>
    <t>h) If a credit quality limit was to be applied to the "extended" alternative MA</t>
  </si>
  <si>
    <t>Please provide the estimations preferably as a relative monetary amount (e.g. -100 if the estimated impact would be a decrease of 100 of the</t>
  </si>
  <si>
    <t xml:space="preserve">underlying figure). If estimations cannot be made, please indicate with a letter H (meaning High), M (meaning Medium) or L (meaning Low) </t>
  </si>
  <si>
    <t>Please fill the associated detailed information about concerned assets and liabilities in the dedicated companion spreadsheet (LTG_MA)</t>
  </si>
  <si>
    <t>Liquid overnight assets</t>
  </si>
  <si>
    <t>I - Valuation</t>
  </si>
  <si>
    <t>Annual effective rate</t>
  </si>
  <si>
    <t>to obtain assets value</t>
  </si>
  <si>
    <r>
      <t>to obtain BE</t>
    </r>
    <r>
      <rPr>
        <vertAlign val="subscript"/>
        <sz val="11"/>
        <color indexed="8"/>
        <rFont val="Calibri"/>
        <family val="2"/>
      </rPr>
      <t>(BRFR)</t>
    </r>
  </si>
  <si>
    <t>Spread of</t>
  </si>
  <si>
    <t>investment return over RFR</t>
  </si>
  <si>
    <t>MA used in balance sheet</t>
  </si>
  <si>
    <t>Sovereign</t>
  </si>
  <si>
    <t>I - Provisions (current basis)</t>
  </si>
  <si>
    <t>Others</t>
  </si>
  <si>
    <t>denomination</t>
  </si>
  <si>
    <t>the country</t>
  </si>
  <si>
    <t>Currency of</t>
  </si>
  <si>
    <t>Utilities</t>
  </si>
  <si>
    <t>Central banks and governments</t>
  </si>
  <si>
    <t>III - Credit quality</t>
  </si>
  <si>
    <t>III - Cash flows of assets</t>
  </si>
  <si>
    <t>LTG spreadsheet index</t>
  </si>
  <si>
    <t>Current activity include ring fenced funds ?</t>
  </si>
  <si>
    <t>_hasCurrentRFF</t>
  </si>
  <si>
    <t>_IsMutual</t>
  </si>
  <si>
    <t>Is this legal form a Mutual one ?</t>
  </si>
  <si>
    <t>Number of ring fenced funds</t>
  </si>
  <si>
    <t>&lt;ring fenced fund 1&gt;</t>
  </si>
  <si>
    <t>&lt;ring fenced fund 2&gt;</t>
  </si>
  <si>
    <t>&lt;ring fenced fund 3&gt;</t>
  </si>
  <si>
    <t>&lt;ring fenced fund 4&gt;</t>
  </si>
  <si>
    <t>&lt;ring fenced fund 5&gt;</t>
  </si>
  <si>
    <t>&lt;ring fenced fund 6&gt;</t>
  </si>
  <si>
    <t>&lt;ring fenced fund 7&gt;</t>
  </si>
  <si>
    <t>&lt;ring fenced fund 8&gt;</t>
  </si>
  <si>
    <t>&lt;ring fenced fund 9&gt;</t>
  </si>
  <si>
    <t>Provisions valuated according to current accounting bases</t>
  </si>
  <si>
    <t>Gross TP of ring fenced funds (current valuation)</t>
  </si>
  <si>
    <t>Other ring fenced funds</t>
  </si>
  <si>
    <t>Total ring fenced liabilities (gross TP)</t>
  </si>
  <si>
    <t>Country of issue</t>
  </si>
  <si>
    <t>0
(AAA)</t>
  </si>
  <si>
    <t>1
(AA)</t>
  </si>
  <si>
    <t>2
(A)</t>
  </si>
  <si>
    <t>3
(BBB)</t>
  </si>
  <si>
    <t>4
(BB)</t>
  </si>
  <si>
    <t>5 or 6
(&lt; BB)</t>
  </si>
  <si>
    <t>II - Bond portfolio structure</t>
  </si>
  <si>
    <t>ISO4217</t>
  </si>
  <si>
    <t>ISO3166</t>
  </si>
  <si>
    <t>Amounts at market value</t>
  </si>
  <si>
    <t>Country of Issue</t>
  </si>
  <si>
    <t>Avg. duration (in years)</t>
  </si>
  <si>
    <t>Credit quality step</t>
  </si>
  <si>
    <t>Sovereigns: Other exposures</t>
  </si>
  <si>
    <t>Country 1:</t>
  </si>
  <si>
    <t>of which: most important country of issue</t>
  </si>
  <si>
    <t>of which: 2nd most important country of issue</t>
  </si>
  <si>
    <t>of which: 3rd most important country of issue</t>
  </si>
  <si>
    <t>of which: 4th most important country of issue</t>
  </si>
  <si>
    <t>of which: 5th most important country of issue</t>
  </si>
  <si>
    <t>of which: 6th most important country of issue</t>
  </si>
  <si>
    <t>of which: 7th most important country of issue</t>
  </si>
  <si>
    <t>of which: 8th most important country of issue</t>
  </si>
  <si>
    <t>of which: 9th most important country of issue</t>
  </si>
  <si>
    <t>Sovereigns: EEA, in own currency</t>
  </si>
  <si>
    <t>Country 2:</t>
  </si>
  <si>
    <t>Country 3:</t>
  </si>
  <si>
    <t>Country 4:</t>
  </si>
  <si>
    <t>Country 5:</t>
  </si>
  <si>
    <t>Country 6:</t>
  </si>
  <si>
    <t>Country 7:</t>
  </si>
  <si>
    <t>Country 8:</t>
  </si>
  <si>
    <t>Country 9:</t>
  </si>
  <si>
    <t>of which: others</t>
  </si>
  <si>
    <t>non-life (excluding health)</t>
  </si>
  <si>
    <t>Life and health SLT, excluding unit or index-linked</t>
  </si>
  <si>
    <t>life with profit sharing</t>
  </si>
  <si>
    <t>life without profit sharing</t>
  </si>
  <si>
    <t>Assets held for index or unit-linked funds</t>
  </si>
  <si>
    <t>Life and health SLT</t>
  </si>
  <si>
    <t>Ordinary share capital</t>
  </si>
  <si>
    <t>The initial fund</t>
  </si>
  <si>
    <t>Retained earnings</t>
  </si>
  <si>
    <t>Accounting situation</t>
  </si>
  <si>
    <t>Solvency I situation</t>
  </si>
  <si>
    <t>Reconciliation</t>
  </si>
  <si>
    <t>TP - index-linked and unit-linked</t>
  </si>
  <si>
    <t>TP - non-life</t>
  </si>
  <si>
    <t>TP - health (non SLT)</t>
  </si>
  <si>
    <t>TP - health (SLT)</t>
  </si>
  <si>
    <t xml:space="preserve">TP - life - with profit sharing </t>
  </si>
  <si>
    <t>TP - life - without profit sharing</t>
  </si>
  <si>
    <t>Balance sheets reconciliation</t>
  </si>
  <si>
    <t>SI and Scenario 0</t>
  </si>
  <si>
    <t>Life and health similar to life</t>
  </si>
  <si>
    <t>Life excluding health SLT</t>
  </si>
  <si>
    <t>&lt;2nd ring fenced fund&gt;</t>
  </si>
  <si>
    <t>&lt;Main ring fenced fund&gt;</t>
  </si>
  <si>
    <t>&lt;3rd&gt;</t>
  </si>
  <si>
    <t>&lt;4&gt;</t>
  </si>
  <si>
    <t>&lt;5&gt;</t>
  </si>
  <si>
    <t>&lt;6&gt;</t>
  </si>
  <si>
    <t>&lt;7&gt;</t>
  </si>
  <si>
    <t>All others RFF (sum)</t>
  </si>
  <si>
    <t>Market
risk</t>
  </si>
  <si>
    <t>Life underw. risk</t>
  </si>
  <si>
    <t>Non-Life underw. risk</t>
  </si>
  <si>
    <t>Notional SCR</t>
  </si>
  <si>
    <t>Own funds restriction</t>
  </si>
  <si>
    <t>Ring fenced funds information
(net risks, notional SCR and OF restrictions)</t>
  </si>
  <si>
    <t>Post stress values</t>
  </si>
  <si>
    <t>Lapse risk (mass schock)</t>
  </si>
  <si>
    <t>FP(existing)</t>
  </si>
  <si>
    <t>P</t>
  </si>
  <si>
    <t>P(last)</t>
  </si>
  <si>
    <t>FP(future)</t>
  </si>
  <si>
    <t>Non-prop. reinsurance - property</t>
  </si>
  <si>
    <t>Non-prop. reinsurance - casualty</t>
  </si>
  <si>
    <t>Non-prop. reinsurance - MAT</t>
  </si>
  <si>
    <t>NP factor</t>
  </si>
  <si>
    <t>10:Np reins. (casualty)</t>
  </si>
  <si>
    <t>11:Np reins. (MAT)</t>
  </si>
  <si>
    <t>12:Np reins. (property)</t>
  </si>
  <si>
    <t>SCR.9.35</t>
  </si>
  <si>
    <t>CorrS</t>
  </si>
  <si>
    <t>Volume measure for non-life premium risk per segment</t>
  </si>
  <si>
    <t>Overall
Vs</t>
  </si>
  <si>
    <r>
      <t>PCOlob
V</t>
    </r>
    <r>
      <rPr>
        <vertAlign val="subscript"/>
        <sz val="10"/>
        <rFont val="Calibri"/>
        <family val="2"/>
      </rPr>
      <t>res</t>
    </r>
  </si>
  <si>
    <r>
      <t xml:space="preserve">Overall Vs
x
Overall </t>
    </r>
    <r>
      <rPr>
        <sz val="9"/>
        <rFont val="Symbol"/>
        <family val="1"/>
        <charset val="2"/>
      </rPr>
      <t>s</t>
    </r>
  </si>
  <si>
    <r>
      <t xml:space="preserve">Overall </t>
    </r>
    <r>
      <rPr>
        <sz val="11"/>
        <rFont val="Symbol"/>
        <family val="1"/>
        <charset val="2"/>
      </rPr>
      <t>s</t>
    </r>
  </si>
  <si>
    <t>Gross of reinsurance</t>
  </si>
  <si>
    <t>premium
V x Sigma</t>
  </si>
  <si>
    <t>Premium
V x Sigma</t>
  </si>
  <si>
    <t>Reserve
V x Sigma</t>
  </si>
  <si>
    <t>Combined standard dev. x Volume meas.</t>
  </si>
  <si>
    <t>Non-life mass lapse risk</t>
  </si>
  <si>
    <t>Minimum capital requirement informations</t>
  </si>
  <si>
    <t>Linear MCR</t>
  </si>
  <si>
    <t>MCR final calculations calculations</t>
  </si>
  <si>
    <t>MCR combined [standard formula]</t>
  </si>
  <si>
    <t>MCR combined [internal model]</t>
  </si>
  <si>
    <t>Absolute floor of MCR</t>
  </si>
  <si>
    <t>MCR or Notional MCR [Standard formula]</t>
  </si>
  <si>
    <t>MCR or Notional MCR [Internal model]</t>
  </si>
  <si>
    <t>SCR or notional SCR [standard formula]</t>
  </si>
  <si>
    <t>SCR or notional SCR [Internal model]</t>
  </si>
  <si>
    <t>MCR [Internal model]</t>
  </si>
  <si>
    <t>MCR [standard formula]</t>
  </si>
  <si>
    <t>For composite only</t>
  </si>
  <si>
    <t>Net BE
(from life)</t>
  </si>
  <si>
    <t>CAR</t>
  </si>
  <si>
    <t>CAR
(from non-life)</t>
  </si>
  <si>
    <t>BE
(from non-life)</t>
  </si>
  <si>
    <t>III - Capital requirements</t>
  </si>
  <si>
    <t>IV - Details of std formula</t>
  </si>
  <si>
    <t>IV.1 - Market risks details</t>
  </si>
  <si>
    <t>IV.2 - Life underwriting risk</t>
  </si>
  <si>
    <t>IV.3 - Health risk</t>
  </si>
  <si>
    <t>IV.4 - Non-Life risk</t>
  </si>
  <si>
    <t>V - MCR</t>
  </si>
  <si>
    <t>VI - Internal model</t>
  </si>
  <si>
    <t>VII - Liability cash flows</t>
  </si>
  <si>
    <t>Internal modelling, on the same perimeters as the standard formula</t>
  </si>
  <si>
    <t>Internal modelling using a model with a different scope</t>
  </si>
  <si>
    <t>Equities - Type 1 - Listed</t>
  </si>
  <si>
    <t>Equities - Type 2 - Others</t>
  </si>
  <si>
    <t>Breakdown of TP
(without risk margin)
by LTG applied</t>
  </si>
  <si>
    <t>countries</t>
  </si>
  <si>
    <t>Name of the sub-portfolio</t>
  </si>
  <si>
    <t>&lt;name 1&gt;</t>
  </si>
  <si>
    <t>&lt;name 2&gt;</t>
  </si>
  <si>
    <t>&lt;name 3&gt;</t>
  </si>
  <si>
    <t>&lt;name 4&gt;</t>
  </si>
  <si>
    <t>&lt;name 5&gt;</t>
  </si>
  <si>
    <t>&lt;name 6&gt;</t>
  </si>
  <si>
    <t>&lt;name 7&gt;</t>
  </si>
  <si>
    <t>&lt;name 8&gt;</t>
  </si>
  <si>
    <t>&lt;name 9&gt;</t>
  </si>
  <si>
    <t>&lt;name10&gt;</t>
  </si>
  <si>
    <t>List of the 10 most important sub-portfolio of insurance obligations on which a matching adjustment calculation has been performed</t>
  </si>
  <si>
    <t>i) If the "extended" alternative MA was done with the extended MA conditions for MA level</t>
  </si>
  <si>
    <t>Specific currently used items according to OF.45.</t>
  </si>
  <si>
    <t>Other currently eligible items according to OF.46. and OF.49.</t>
  </si>
  <si>
    <t>Existing items that may be approved in the future according to OF.48. and OF.50.</t>
  </si>
  <si>
    <t>Equities - Type 2 - Unlisted</t>
  </si>
  <si>
    <t>.\LTG_I-adapted-(20130128).doc</t>
  </si>
  <si>
    <t>.\LTG_II-adapted-(20130128).doc</t>
  </si>
  <si>
    <t>2. Own Funds Information that is common to all scenarios</t>
  </si>
  <si>
    <t>your qualitative assessment of the expected impact (only for scenarios 1 and 6).</t>
  </si>
  <si>
    <t>II_Scen0</t>
  </si>
  <si>
    <t>II_Scen1</t>
  </si>
  <si>
    <t>II_Scen2</t>
  </si>
  <si>
    <t>Net non-life written premium
(last 12 M)</t>
  </si>
  <si>
    <t>(Composites only)
Net non-life written premium of life business
(last 12 M)</t>
  </si>
  <si>
    <t>Amounts due in respect of own fund items called up but not yet paid in</t>
  </si>
  <si>
    <t>- Tier 1, unrestricted</t>
  </si>
  <si>
    <t>- Tier 1, restricted</t>
  </si>
  <si>
    <t>Capital requirement for health non-similar to life</t>
  </si>
  <si>
    <t>Volume measure for health non-SLT risk per segment</t>
  </si>
  <si>
    <t>Non-prop. Health reinsurance</t>
  </si>
  <si>
    <t>Standard deviation for health premium risk</t>
  </si>
  <si>
    <t>Income protection insurance</t>
  </si>
  <si>
    <t>Workers' compensation insurance</t>
  </si>
  <si>
    <t>Medical expense insurance</t>
  </si>
  <si>
    <t>SCR.8.78</t>
  </si>
  <si>
    <t>SCR.8.56</t>
  </si>
  <si>
    <t>SCR.8.66</t>
  </si>
  <si>
    <t>Non SLT health premium &amp; reserve risk</t>
  </si>
  <si>
    <t>Non SLT health lapse risk</t>
  </si>
  <si>
    <t>Cashs flows of governements bonds by country of issuance (main countries)</t>
  </si>
  <si>
    <t>Corporate bonds: financials</t>
  </si>
  <si>
    <t>Corporate bonds: industrials</t>
  </si>
  <si>
    <t>Credit quality step:</t>
  </si>
  <si>
    <t>&gt; 3</t>
  </si>
  <si>
    <t>Corporate bonds: utilities</t>
  </si>
  <si>
    <t>Corporate bonds: others</t>
  </si>
  <si>
    <t>Corporate bonds, financials, secured</t>
  </si>
  <si>
    <t>Financial</t>
  </si>
  <si>
    <t>Others
assets</t>
  </si>
  <si>
    <t>Nominal cash flows (not de-risked) of all assets (except index linked and cash)</t>
  </si>
  <si>
    <t>Overall s</t>
  </si>
  <si>
    <r>
      <t>PCOlob
V</t>
    </r>
    <r>
      <rPr>
        <vertAlign val="subscript"/>
        <sz val="10"/>
        <rFont val="Calibri"/>
        <family val="2"/>
      </rPr>
      <t>res</t>
    </r>
  </si>
  <si>
    <r>
      <t>V</t>
    </r>
    <r>
      <rPr>
        <vertAlign val="subscript"/>
        <sz val="10"/>
        <rFont val="Calibri"/>
        <family val="2"/>
      </rPr>
      <t>prem</t>
    </r>
  </si>
  <si>
    <t>TP without risk margin</t>
  </si>
  <si>
    <t>VIII - Specific segmentations</t>
  </si>
  <si>
    <t>Value in scenario 0 of obligations segmented according to the segmentation used in Scenario 1</t>
  </si>
  <si>
    <t>Value in scenario 0 of obligations segmented according to the segmentation used in Scenario 8</t>
  </si>
  <si>
    <t>Scope: Whole portfolio, excluding assets owned for unit-linked/index linked</t>
  </si>
  <si>
    <t>Basic own after all adjustments</t>
  </si>
  <si>
    <t>Reconciliation reserve</t>
  </si>
  <si>
    <t>- Tier 2 basic own funds for MCR</t>
  </si>
  <si>
    <t>- Tier 2 own funds  for SCR (including ancillary own funds)</t>
  </si>
  <si>
    <t>- Tier 3 own funds  for SCR (including ancillary own funds)</t>
  </si>
  <si>
    <t>Interest rates altered upward</t>
  </si>
  <si>
    <t>Interest rates altered downward</t>
  </si>
  <si>
    <t>Life underwriting risk components</t>
  </si>
  <si>
    <t>Average matching adjustment used</t>
  </si>
  <si>
    <t>Balance sheet at end 2013</t>
  </si>
  <si>
    <t>Additional information on end 2013 situation</t>
  </si>
  <si>
    <t>Shared-2013</t>
  </si>
  <si>
    <t>Year end used (adjust if not december 31 of 2013)</t>
  </si>
  <si>
    <t>http://www.xe.com/currencytables/?from=EUR&amp;date=2013-12-31</t>
  </si>
  <si>
    <t>December 2013, 31 at Noon Eastern Time</t>
  </si>
  <si>
    <t>Accounting balance sheet at end 2013</t>
  </si>
  <si>
    <t>Solvency I balance sheet at end 2013 (if different from the accounting balance sheet)</t>
  </si>
  <si>
    <t>Value at end 2013:</t>
  </si>
  <si>
    <t>1. Balance sheet information under Solvency II valuation principle and end 2013 market conditions that is common to all scenarios</t>
  </si>
  <si>
    <t>Assets value end 2013</t>
  </si>
  <si>
    <t>Historical solvency position under current regime (end 2013)</t>
  </si>
  <si>
    <t>Shared part of scenarios 0 to 5</t>
  </si>
  <si>
    <t>3. Scenarios using the end 2013 financial position as the starting point</t>
  </si>
  <si>
    <t>BS-SI-Alap</t>
  </si>
  <si>
    <t>Alap</t>
  </si>
  <si>
    <t>Aggregate values used in the scenarios balance sheets based on end 2013 market conditions (Alap to Scen-5)</t>
  </si>
  <si>
    <t>Illeszkedési kiigazítás</t>
  </si>
  <si>
    <t>0. Alap hozamgörbe forgatókönyv (EIOPA alacsony hozamkörnyezet felmérés alapján)</t>
  </si>
  <si>
    <t>3.1 Feltételezett forgatókönyvek</t>
  </si>
  <si>
    <t>Transitional measure (risk-free interest rates)</t>
  </si>
  <si>
    <t>Transitional measure (technical provisions)</t>
  </si>
  <si>
    <t>VB és TM</t>
  </si>
  <si>
    <t>Shares of the scenario outcomes</t>
  </si>
  <si>
    <t>0. Alap</t>
  </si>
  <si>
    <t>Matching adjustment</t>
  </si>
  <si>
    <t>2013 12 31</t>
  </si>
  <si>
    <t>4. Overview of results</t>
  </si>
  <si>
    <t>ISIN Kód</t>
  </si>
  <si>
    <t>Devizanem</t>
  </si>
  <si>
    <t>Állampapírok</t>
  </si>
  <si>
    <t xml:space="preserve">USD </t>
  </si>
  <si>
    <t>Értékpapír neve</t>
  </si>
  <si>
    <t>Névérték</t>
  </si>
  <si>
    <t>Hazai Állampapírok</t>
  </si>
  <si>
    <t>A Unit Linked életbiztosítási tartalékon kívüli tartalékfedezetben, illetve saját eszközök között lévő közvetlen hazai állampapír befektetéseket kérjük megjeleníteni.</t>
  </si>
  <si>
    <t>1. Illeszkedési kiigazítás forgatókönyv</t>
  </si>
  <si>
    <t>2. Volatilitás kiigazítás és átmeneti intézkedések forgatókönyv</t>
  </si>
  <si>
    <t>1. Illeszkedési kiigazítás</t>
  </si>
  <si>
    <t>Volatility Adjustment</t>
  </si>
  <si>
    <t>On net Volatility Adjustment</t>
  </si>
  <si>
    <t>Volatility Adjustment in market risk</t>
  </si>
  <si>
    <t>2. VA és TM</t>
  </si>
  <si>
    <t>1. Illeszkedési kiigazítás forgatókönyv esetén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</si>
</sst>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-;\-* #,##0.00_-;_-* &quot;-&quot;??_-;_-@_-"/>
    <numFmt numFmtId="165" formatCode="_-* #,##0\ _€_-;\-* #,##0\ _€_-;_-* &quot;-&quot;??\ _€_-;_-@_-"/>
    <numFmt numFmtId="166" formatCode="0.0%"/>
    <numFmt numFmtId="167" formatCode="[$€-2]\ #,##0;[Red]\-[$€-2]\ #,##0"/>
    <numFmt numFmtId="168" formatCode="#,##0.0_ ;\-#,##0.0\ "/>
    <numFmt numFmtId="169" formatCode="#,##0.00000"/>
    <numFmt numFmtId="170" formatCode="0.000"/>
  </numFmts>
  <fonts count="8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i/>
      <sz val="9"/>
      <name val="Arial"/>
      <family val="2"/>
    </font>
    <font>
      <i/>
      <sz val="10"/>
      <color indexed="1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sz val="10"/>
      <name val="Verdana"/>
      <family val="2"/>
    </font>
    <font>
      <sz val="8"/>
      <name val="Verdana"/>
      <family val="2"/>
    </font>
    <font>
      <b/>
      <i/>
      <sz val="10"/>
      <color indexed="9"/>
      <name val="Arial"/>
      <family val="2"/>
    </font>
    <font>
      <b/>
      <sz val="10"/>
      <color indexed="9"/>
      <name val="Arial"/>
      <family val="2"/>
    </font>
    <font>
      <b/>
      <i/>
      <sz val="8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b/>
      <sz val="11"/>
      <name val="Arial"/>
      <family val="2"/>
    </font>
    <font>
      <i/>
      <sz val="9"/>
      <name val="Arial"/>
      <family val="2"/>
      <charset val="1"/>
    </font>
    <font>
      <b/>
      <i/>
      <sz val="10"/>
      <color indexed="9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u/>
      <sz val="10"/>
      <color indexed="12"/>
      <name val="Arial"/>
      <family val="2"/>
    </font>
    <font>
      <u/>
      <sz val="8"/>
      <name val="Arial"/>
      <family val="2"/>
    </font>
    <font>
      <vertAlign val="subscript"/>
      <sz val="10"/>
      <name val="Times New Roman"/>
      <family val="1"/>
    </font>
    <font>
      <vertAlign val="subscript"/>
      <sz val="11"/>
      <color indexed="8"/>
      <name val="Calibri"/>
      <family val="2"/>
    </font>
    <font>
      <vertAlign val="subscript"/>
      <sz val="10"/>
      <name val="Calibri"/>
      <family val="2"/>
    </font>
    <font>
      <sz val="9"/>
      <name val="Symbol"/>
      <family val="1"/>
      <charset val="2"/>
    </font>
    <font>
      <sz val="11"/>
      <name val="Symbol"/>
      <family val="1"/>
      <charset val="2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 tint="-0.1499679555650502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12"/>
      <color theme="0"/>
      <name val="Arial"/>
      <family val="2"/>
    </font>
    <font>
      <b/>
      <u/>
      <sz val="12"/>
      <color theme="0"/>
      <name val="Arial"/>
      <family val="2"/>
    </font>
    <font>
      <u/>
      <sz val="8"/>
      <color indexed="12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theme="1"/>
      <name val="Times New Roman"/>
      <family val="1"/>
    </font>
    <font>
      <i/>
      <u/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1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i/>
      <sz val="10"/>
      <color indexed="9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  <scheme val="minor"/>
    </font>
    <font>
      <sz val="9"/>
      <name val="Calibri"/>
      <family val="2"/>
      <scheme val="minor"/>
    </font>
    <font>
      <i/>
      <sz val="8"/>
      <name val="Calibri"/>
      <family val="2"/>
      <scheme val="minor"/>
    </font>
    <font>
      <i/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i/>
      <sz val="10"/>
      <name val="Calibri"/>
      <family val="2"/>
      <scheme val="minor"/>
    </font>
    <font>
      <i/>
      <u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14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gray0625"/>
    </fill>
    <fill>
      <patternFill patternType="solid">
        <fgColor indexed="2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gray125">
        <bgColor theme="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8B6DC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CBDAE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164" fontId="3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3" fontId="41" fillId="2" borderId="0" applyFill="0" applyBorder="0">
      <alignment horizontal="right" vertical="center"/>
      <protection locked="0"/>
    </xf>
    <xf numFmtId="0" fontId="1" fillId="3" borderId="0" applyFont="0" applyBorder="0"/>
    <xf numFmtId="3" fontId="41" fillId="4" borderId="0" applyBorder="0" applyProtection="0">
      <alignment horizontal="right" vertical="center"/>
    </xf>
    <xf numFmtId="0" fontId="37" fillId="5" borderId="0" applyNumberFormat="0" applyFont="0" applyBorder="0" applyAlignment="0"/>
    <xf numFmtId="3" fontId="41" fillId="2" borderId="0" applyBorder="0">
      <alignment horizontal="right" vertical="center"/>
      <protection locked="0"/>
    </xf>
    <xf numFmtId="3" fontId="41" fillId="6" borderId="0" applyNumberFormat="0" applyFont="0" applyBorder="0" applyAlignment="0">
      <alignment horizontal="right" vertical="center"/>
    </xf>
    <xf numFmtId="0" fontId="42" fillId="10" borderId="0" applyNumberFormat="0" applyBorder="0" applyAlignment="0"/>
    <xf numFmtId="3" fontId="41" fillId="11" borderId="0" applyBorder="0" applyAlignment="0"/>
    <xf numFmtId="0" fontId="37" fillId="12" borderId="0" applyNumberFormat="0" applyFont="0" applyBorder="0" applyAlignment="0" applyProtection="0"/>
    <xf numFmtId="9" fontId="37" fillId="0" borderId="0" applyFont="0" applyFill="0" applyBorder="0" applyAlignment="0" applyProtection="0"/>
  </cellStyleXfs>
  <cellXfs count="1206">
    <xf numFmtId="0" fontId="0" fillId="0" borderId="0" xfId="0"/>
    <xf numFmtId="0" fontId="44" fillId="0" borderId="0" xfId="0" applyFont="1"/>
    <xf numFmtId="0" fontId="1" fillId="0" borderId="0" xfId="0" applyFont="1" applyFill="1" applyBorder="1"/>
    <xf numFmtId="0" fontId="1" fillId="13" borderId="0" xfId="0" applyFont="1" applyFill="1" applyBorder="1"/>
    <xf numFmtId="0" fontId="0" fillId="0" borderId="0" xfId="0" applyFill="1"/>
    <xf numFmtId="0" fontId="0" fillId="0" borderId="0" xfId="0" applyFill="1" applyBorder="1"/>
    <xf numFmtId="0" fontId="1" fillId="0" borderId="0" xfId="0" applyFont="1" applyFill="1"/>
    <xf numFmtId="0" fontId="1" fillId="0" borderId="0" xfId="0" applyFont="1" applyFill="1" applyAlignment="1">
      <alignment horizontal="center" vertical="top" wrapText="1"/>
    </xf>
    <xf numFmtId="0" fontId="0" fillId="0" borderId="0" xfId="0" applyFill="1" applyAlignment="1"/>
    <xf numFmtId="0" fontId="0" fillId="0" borderId="0" xfId="0" applyBorder="1"/>
    <xf numFmtId="0" fontId="1" fillId="0" borderId="0" xfId="1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top"/>
    </xf>
    <xf numFmtId="0" fontId="45" fillId="0" borderId="1" xfId="0" applyFont="1" applyFill="1" applyBorder="1"/>
    <xf numFmtId="0" fontId="0" fillId="0" borderId="1" xfId="0" applyBorder="1"/>
    <xf numFmtId="0" fontId="16" fillId="0" borderId="0" xfId="0" applyFont="1"/>
    <xf numFmtId="0" fontId="15" fillId="0" borderId="0" xfId="0" applyFont="1"/>
    <xf numFmtId="0" fontId="44" fillId="0" borderId="0" xfId="0" applyFont="1"/>
    <xf numFmtId="0" fontId="5" fillId="7" borderId="0" xfId="0" applyFont="1" applyFill="1" applyAlignment="1">
      <alignment horizontal="center"/>
    </xf>
    <xf numFmtId="0" fontId="0" fillId="0" borderId="0" xfId="0" applyProtection="1"/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Protection="1"/>
    <xf numFmtId="0" fontId="17" fillId="8" borderId="2" xfId="0" applyFont="1" applyFill="1" applyBorder="1" applyAlignment="1"/>
    <xf numFmtId="0" fontId="5" fillId="0" borderId="3" xfId="0" applyFont="1" applyBorder="1" applyAlignment="1">
      <alignment horizontal="center"/>
    </xf>
    <xf numFmtId="0" fontId="14" fillId="0" borderId="0" xfId="0" applyFont="1"/>
    <xf numFmtId="0" fontId="0" fillId="0" borderId="0" xfId="0" applyBorder="1" applyAlignment="1" applyProtection="1">
      <alignment horizontal="center"/>
    </xf>
    <xf numFmtId="0" fontId="5" fillId="0" borderId="0" xfId="0" applyFont="1" applyAlignment="1"/>
    <xf numFmtId="0" fontId="0" fillId="0" borderId="3" xfId="0" applyBorder="1"/>
    <xf numFmtId="0" fontId="18" fillId="8" borderId="4" xfId="0" applyFont="1" applyFill="1" applyBorder="1" applyProtection="1">
      <protection locked="0"/>
    </xf>
    <xf numFmtId="0" fontId="46" fillId="0" borderId="0" xfId="0" applyFont="1"/>
    <xf numFmtId="0" fontId="2" fillId="0" borderId="0" xfId="0" applyFont="1" applyFill="1" applyBorder="1" applyAlignment="1">
      <alignment horizontal="center" vertical="top" wrapText="1"/>
    </xf>
    <xf numFmtId="0" fontId="0" fillId="0" borderId="5" xfId="0" applyBorder="1" applyProtection="1"/>
    <xf numFmtId="0" fontId="0" fillId="0" borderId="2" xfId="0" applyBorder="1" applyProtection="1"/>
    <xf numFmtId="0" fontId="0" fillId="0" borderId="4" xfId="0" applyBorder="1" applyProtection="1"/>
    <xf numFmtId="0" fontId="0" fillId="0" borderId="6" xfId="0" applyBorder="1" applyProtection="1"/>
    <xf numFmtId="0" fontId="0" fillId="0" borderId="7" xfId="0" applyBorder="1" applyProtection="1"/>
    <xf numFmtId="9" fontId="0" fillId="0" borderId="8" xfId="0" applyNumberFormat="1" applyBorder="1" applyAlignment="1" applyProtection="1">
      <alignment horizontal="center"/>
    </xf>
    <xf numFmtId="9" fontId="0" fillId="0" borderId="0" xfId="0" applyNumberFormat="1" applyBorder="1" applyProtection="1"/>
    <xf numFmtId="9" fontId="0" fillId="0" borderId="3" xfId="0" applyNumberFormat="1" applyBorder="1" applyProtection="1"/>
    <xf numFmtId="0" fontId="0" fillId="0" borderId="9" xfId="0" applyBorder="1" applyProtection="1"/>
    <xf numFmtId="9" fontId="0" fillId="0" borderId="10" xfId="0" applyNumberFormat="1" applyBorder="1" applyAlignment="1" applyProtection="1">
      <alignment horizontal="center"/>
    </xf>
    <xf numFmtId="0" fontId="0" fillId="0" borderId="11" xfId="0" applyFill="1" applyBorder="1" applyAlignment="1"/>
    <xf numFmtId="0" fontId="0" fillId="0" borderId="8" xfId="0" applyFill="1" applyBorder="1" applyAlignment="1"/>
    <xf numFmtId="0" fontId="0" fillId="0" borderId="10" xfId="0" applyFill="1" applyBorder="1" applyAlignment="1"/>
    <xf numFmtId="0" fontId="17" fillId="8" borderId="4" xfId="0" applyFont="1" applyFill="1" applyBorder="1" applyAlignment="1"/>
    <xf numFmtId="0" fontId="5" fillId="6" borderId="11" xfId="0" applyFont="1" applyFill="1" applyBorder="1" applyAlignment="1">
      <alignment horizontal="left"/>
    </xf>
    <xf numFmtId="0" fontId="5" fillId="6" borderId="8" xfId="0" applyFont="1" applyFill="1" applyBorder="1"/>
    <xf numFmtId="0" fontId="5" fillId="6" borderId="10" xfId="0" applyFont="1" applyFill="1" applyBorder="1"/>
    <xf numFmtId="0" fontId="2" fillId="6" borderId="5" xfId="0" applyFont="1" applyFill="1" applyBorder="1"/>
    <xf numFmtId="0" fontId="5" fillId="6" borderId="8" xfId="0" applyFont="1" applyFill="1" applyBorder="1" applyAlignment="1">
      <alignment horizontal="left"/>
    </xf>
    <xf numFmtId="0" fontId="5" fillId="6" borderId="8" xfId="0" applyFont="1" applyFill="1" applyBorder="1" applyAlignment="1">
      <alignment wrapText="1"/>
    </xf>
    <xf numFmtId="0" fontId="5" fillId="6" borderId="11" xfId="0" applyFont="1" applyFill="1" applyBorder="1"/>
    <xf numFmtId="0" fontId="0" fillId="0" borderId="0" xfId="0"/>
    <xf numFmtId="4" fontId="1" fillId="0" borderId="0" xfId="0" applyNumberFormat="1" applyFont="1" applyFill="1" applyBorder="1"/>
    <xf numFmtId="4" fontId="18" fillId="8" borderId="4" xfId="0" applyNumberFormat="1" applyFont="1" applyFill="1" applyBorder="1" applyProtection="1">
      <protection locked="0"/>
    </xf>
    <xf numFmtId="4" fontId="1" fillId="13" borderId="0" xfId="0" applyNumberFormat="1" applyFont="1" applyFill="1" applyBorder="1"/>
    <xf numFmtId="2" fontId="46" fillId="0" borderId="0" xfId="0" applyNumberFormat="1" applyFont="1"/>
    <xf numFmtId="0" fontId="47" fillId="0" borderId="0" xfId="0" applyFont="1" applyFill="1"/>
    <xf numFmtId="0" fontId="47" fillId="0" borderId="0" xfId="0" applyFont="1"/>
    <xf numFmtId="0" fontId="5" fillId="7" borderId="12" xfId="0" applyFont="1" applyFill="1" applyBorder="1" applyProtection="1"/>
    <xf numFmtId="0" fontId="5" fillId="7" borderId="13" xfId="0" applyFont="1" applyFill="1" applyBorder="1" applyProtection="1"/>
    <xf numFmtId="0" fontId="5" fillId="7" borderId="7" xfId="0" applyFont="1" applyFill="1" applyBorder="1" applyProtection="1"/>
    <xf numFmtId="0" fontId="5" fillId="7" borderId="0" xfId="0" applyFont="1" applyFill="1" applyBorder="1" applyProtection="1"/>
    <xf numFmtId="0" fontId="5" fillId="7" borderId="9" xfId="0" applyFont="1" applyFill="1" applyBorder="1" applyProtection="1"/>
    <xf numFmtId="0" fontId="5" fillId="7" borderId="1" xfId="0" applyFont="1" applyFill="1" applyBorder="1" applyProtection="1"/>
    <xf numFmtId="0" fontId="5" fillId="7" borderId="14" xfId="0" applyFont="1" applyFill="1" applyBorder="1" applyProtection="1"/>
    <xf numFmtId="0" fontId="0" fillId="0" borderId="0" xfId="0" applyProtection="1"/>
    <xf numFmtId="0" fontId="5" fillId="7" borderId="2" xfId="0" applyFont="1" applyFill="1" applyBorder="1" applyProtection="1"/>
    <xf numFmtId="0" fontId="5" fillId="7" borderId="6" xfId="0" applyFont="1" applyFill="1" applyBorder="1" applyProtection="1"/>
    <xf numFmtId="0" fontId="25" fillId="9" borderId="4" xfId="0" applyFont="1" applyFill="1" applyBorder="1" applyAlignment="1" applyProtection="1">
      <alignment horizontal="left"/>
      <protection locked="0"/>
    </xf>
    <xf numFmtId="0" fontId="5" fillId="7" borderId="5" xfId="0" applyFont="1" applyFill="1" applyBorder="1" applyAlignment="1" applyProtection="1">
      <alignment horizontal="center"/>
    </xf>
    <xf numFmtId="0" fontId="5" fillId="7" borderId="8" xfId="0" applyFont="1" applyFill="1" applyBorder="1" applyProtection="1"/>
    <xf numFmtId="0" fontId="5" fillId="7" borderId="10" xfId="0" applyFont="1" applyFill="1" applyBorder="1" applyProtection="1"/>
    <xf numFmtId="0" fontId="5" fillId="7" borderId="5" xfId="0" applyFont="1" applyFill="1" applyBorder="1" applyProtection="1"/>
    <xf numFmtId="0" fontId="41" fillId="14" borderId="8" xfId="0" applyFont="1" applyFill="1" applyBorder="1" applyAlignment="1">
      <alignment horizontal="center"/>
    </xf>
    <xf numFmtId="0" fontId="41" fillId="15" borderId="8" xfId="0" applyFont="1" applyFill="1" applyBorder="1" applyAlignment="1">
      <alignment horizontal="center"/>
    </xf>
    <xf numFmtId="0" fontId="41" fillId="15" borderId="10" xfId="0" applyFont="1" applyFill="1" applyBorder="1" applyAlignment="1">
      <alignment horizontal="center"/>
    </xf>
    <xf numFmtId="0" fontId="48" fillId="0" borderId="0" xfId="0" applyFont="1"/>
    <xf numFmtId="0" fontId="4" fillId="6" borderId="8" xfId="0" applyFont="1" applyFill="1" applyBorder="1" applyAlignment="1">
      <alignment horizontal="left" wrapText="1" indent="1"/>
    </xf>
    <xf numFmtId="0" fontId="4" fillId="6" borderId="10" xfId="0" applyFont="1" applyFill="1" applyBorder="1" applyAlignment="1">
      <alignment horizontal="left" wrapText="1" indent="1"/>
    </xf>
    <xf numFmtId="0" fontId="12" fillId="6" borderId="11" xfId="0" applyFont="1" applyFill="1" applyBorder="1" applyAlignment="1">
      <alignment wrapText="1"/>
    </xf>
    <xf numFmtId="0" fontId="12" fillId="6" borderId="8" xfId="0" applyFont="1" applyFill="1" applyBorder="1" applyAlignment="1">
      <alignment wrapText="1"/>
    </xf>
    <xf numFmtId="0" fontId="5" fillId="6" borderId="5" xfId="0" applyFont="1" applyFill="1" applyBorder="1"/>
    <xf numFmtId="0" fontId="5" fillId="6" borderId="8" xfId="0" applyFont="1" applyFill="1" applyBorder="1" applyAlignment="1">
      <alignment horizontal="left" indent="1"/>
    </xf>
    <xf numFmtId="0" fontId="5" fillId="6" borderId="10" xfId="0" applyFont="1" applyFill="1" applyBorder="1" applyAlignment="1">
      <alignment horizontal="left" indent="1"/>
    </xf>
    <xf numFmtId="0" fontId="41" fillId="15" borderId="11" xfId="0" applyFont="1" applyFill="1" applyBorder="1" applyAlignment="1">
      <alignment horizontal="center"/>
    </xf>
    <xf numFmtId="0" fontId="41" fillId="14" borderId="10" xfId="0" applyFont="1" applyFill="1" applyBorder="1" applyAlignment="1">
      <alignment horizontal="center"/>
    </xf>
    <xf numFmtId="4" fontId="1" fillId="14" borderId="11" xfId="0" applyNumberFormat="1" applyFont="1" applyFill="1" applyBorder="1"/>
    <xf numFmtId="0" fontId="12" fillId="6" borderId="8" xfId="0" applyFont="1" applyFill="1" applyBorder="1" applyAlignment="1">
      <alignment horizontal="left"/>
    </xf>
    <xf numFmtId="0" fontId="12" fillId="6" borderId="11" xfId="0" applyFont="1" applyFill="1" applyBorder="1" applyAlignment="1">
      <alignment horizontal="left"/>
    </xf>
    <xf numFmtId="164" fontId="37" fillId="0" borderId="0" xfId="1" applyFont="1" applyFill="1" applyAlignment="1"/>
    <xf numFmtId="164" fontId="47" fillId="0" borderId="0" xfId="1" applyFont="1" applyFill="1"/>
    <xf numFmtId="164" fontId="25" fillId="9" borderId="4" xfId="1" applyFont="1" applyFill="1" applyBorder="1" applyAlignment="1" applyProtection="1">
      <alignment horizontal="center"/>
      <protection locked="0"/>
    </xf>
    <xf numFmtId="164" fontId="37" fillId="0" borderId="0" xfId="1" applyFont="1" applyFill="1" applyAlignment="1">
      <alignment horizontal="right"/>
    </xf>
    <xf numFmtId="164" fontId="37" fillId="0" borderId="0" xfId="1" applyFont="1"/>
    <xf numFmtId="0" fontId="17" fillId="8" borderId="4" xfId="0" applyFont="1" applyFill="1" applyBorder="1" applyProtection="1">
      <protection locked="0"/>
    </xf>
    <xf numFmtId="0" fontId="17" fillId="8" borderId="4" xfId="0" applyFont="1" applyFill="1" applyBorder="1" applyAlignment="1">
      <alignment horizontal="center"/>
    </xf>
    <xf numFmtId="0" fontId="17" fillId="8" borderId="4" xfId="0" applyFont="1" applyFill="1" applyBorder="1" applyAlignment="1">
      <alignment horizontal="left"/>
    </xf>
    <xf numFmtId="164" fontId="5" fillId="0" borderId="0" xfId="1" applyFont="1"/>
    <xf numFmtId="164" fontId="1" fillId="3" borderId="8" xfId="1" applyFont="1" applyFill="1" applyBorder="1"/>
    <xf numFmtId="164" fontId="1" fillId="3" borderId="11" xfId="1" applyFont="1" applyFill="1" applyBorder="1"/>
    <xf numFmtId="164" fontId="1" fillId="3" borderId="10" xfId="1" applyFont="1" applyFill="1" applyBorder="1"/>
    <xf numFmtId="164" fontId="2" fillId="3" borderId="11" xfId="1" applyFont="1" applyFill="1" applyBorder="1"/>
    <xf numFmtId="164" fontId="7" fillId="16" borderId="11" xfId="1" applyFont="1" applyFill="1" applyBorder="1" applyAlignment="1" applyProtection="1">
      <alignment horizontal="right"/>
      <protection locked="0"/>
    </xf>
    <xf numFmtId="164" fontId="7" fillId="16" borderId="8" xfId="1" applyFont="1" applyFill="1" applyBorder="1" applyAlignment="1" applyProtection="1">
      <alignment horizontal="right"/>
      <protection locked="0"/>
    </xf>
    <xf numFmtId="164" fontId="7" fillId="16" borderId="10" xfId="1" applyFont="1" applyFill="1" applyBorder="1" applyAlignment="1" applyProtection="1">
      <alignment horizontal="right"/>
      <protection locked="0"/>
    </xf>
    <xf numFmtId="164" fontId="13" fillId="16" borderId="5" xfId="1" applyFont="1" applyFill="1" applyBorder="1" applyAlignment="1" applyProtection="1">
      <alignment horizontal="right"/>
      <protection locked="0"/>
    </xf>
    <xf numFmtId="164" fontId="17" fillId="8" borderId="4" xfId="1" applyFont="1" applyFill="1" applyBorder="1" applyAlignment="1">
      <alignment horizontal="center"/>
    </xf>
    <xf numFmtId="164" fontId="17" fillId="8" borderId="4" xfId="1" applyFont="1" applyFill="1" applyBorder="1" applyAlignment="1">
      <alignment horizontal="left"/>
    </xf>
    <xf numFmtId="0" fontId="41" fillId="14" borderId="1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0" quotePrefix="1" applyFont="1" applyBorder="1" applyAlignment="1" applyProtection="1">
      <alignment horizontal="center"/>
    </xf>
    <xf numFmtId="0" fontId="8" fillId="0" borderId="4" xfId="0" quotePrefix="1" applyFont="1" applyBorder="1" applyAlignment="1"/>
    <xf numFmtId="0" fontId="8" fillId="0" borderId="6" xfId="0" quotePrefix="1" applyFont="1" applyBorder="1" applyAlignment="1"/>
    <xf numFmtId="0" fontId="2" fillId="0" borderId="5" xfId="0" applyFont="1" applyBorder="1" applyAlignment="1" applyProtection="1">
      <alignment horizontal="center"/>
    </xf>
    <xf numFmtId="0" fontId="2" fillId="0" borderId="5" xfId="0" quotePrefix="1" applyFont="1" applyBorder="1" applyAlignment="1" applyProtection="1">
      <alignment horizontal="center"/>
    </xf>
    <xf numFmtId="0" fontId="8" fillId="7" borderId="0" xfId="0" quotePrefix="1" applyFont="1" applyFill="1" applyBorder="1"/>
    <xf numFmtId="0" fontId="8" fillId="7" borderId="3" xfId="0" quotePrefix="1" applyFont="1" applyFill="1" applyBorder="1"/>
    <xf numFmtId="0" fontId="49" fillId="7" borderId="8" xfId="0" quotePrefix="1" applyFont="1" applyFill="1" applyBorder="1"/>
    <xf numFmtId="0" fontId="50" fillId="7" borderId="3" xfId="2" quotePrefix="1" applyFont="1" applyFill="1" applyBorder="1" applyAlignment="1" applyProtection="1">
      <alignment horizontal="center"/>
    </xf>
    <xf numFmtId="0" fontId="51" fillId="17" borderId="7" xfId="0" applyFont="1" applyFill="1" applyBorder="1" applyProtection="1"/>
    <xf numFmtId="0" fontId="52" fillId="17" borderId="0" xfId="0" quotePrefix="1" applyFont="1" applyFill="1" applyBorder="1"/>
    <xf numFmtId="0" fontId="52" fillId="17" borderId="3" xfId="0" quotePrefix="1" applyFont="1" applyFill="1" applyBorder="1"/>
    <xf numFmtId="0" fontId="49" fillId="17" borderId="8" xfId="0" quotePrefix="1" applyFont="1" applyFill="1" applyBorder="1"/>
    <xf numFmtId="0" fontId="53" fillId="17" borderId="3" xfId="0" quotePrefix="1" applyFont="1" applyFill="1" applyBorder="1" applyAlignment="1" applyProtection="1">
      <alignment horizontal="center"/>
    </xf>
    <xf numFmtId="0" fontId="51" fillId="18" borderId="7" xfId="0" applyFont="1" applyFill="1" applyBorder="1" applyProtection="1"/>
    <xf numFmtId="0" fontId="52" fillId="18" borderId="0" xfId="0" quotePrefix="1" applyFont="1" applyFill="1" applyBorder="1"/>
    <xf numFmtId="0" fontId="53" fillId="18" borderId="3" xfId="0" quotePrefix="1" applyFont="1" applyFill="1" applyBorder="1" applyAlignment="1" applyProtection="1">
      <alignment horizontal="center"/>
    </xf>
    <xf numFmtId="0" fontId="8" fillId="19" borderId="0" xfId="0" quotePrefix="1" applyFont="1" applyFill="1" applyBorder="1"/>
    <xf numFmtId="0" fontId="8" fillId="19" borderId="3" xfId="0" quotePrefix="1" applyFont="1" applyFill="1" applyBorder="1"/>
    <xf numFmtId="0" fontId="49" fillId="19" borderId="8" xfId="0" quotePrefix="1" applyFont="1" applyFill="1" applyBorder="1"/>
    <xf numFmtId="0" fontId="53" fillId="19" borderId="3" xfId="0" quotePrefix="1" applyFont="1" applyFill="1" applyBorder="1" applyAlignment="1" applyProtection="1">
      <alignment horizontal="center"/>
    </xf>
    <xf numFmtId="0" fontId="47" fillId="20" borderId="7" xfId="0" applyFont="1" applyFill="1" applyBorder="1"/>
    <xf numFmtId="0" fontId="50" fillId="20" borderId="0" xfId="0" applyFont="1" applyFill="1" applyBorder="1"/>
    <xf numFmtId="0" fontId="51" fillId="21" borderId="7" xfId="0" applyFont="1" applyFill="1" applyBorder="1" applyProtection="1"/>
    <xf numFmtId="0" fontId="52" fillId="21" borderId="0" xfId="0" quotePrefix="1" applyFont="1" applyFill="1" applyBorder="1"/>
    <xf numFmtId="0" fontId="53" fillId="21" borderId="3" xfId="0" quotePrefix="1" applyFont="1" applyFill="1" applyBorder="1" applyAlignment="1" applyProtection="1">
      <alignment horizontal="center"/>
    </xf>
    <xf numFmtId="0" fontId="51" fillId="22" borderId="7" xfId="0" applyFont="1" applyFill="1" applyBorder="1" applyProtection="1"/>
    <xf numFmtId="0" fontId="52" fillId="22" borderId="0" xfId="0" quotePrefix="1" applyFont="1" applyFill="1" applyBorder="1"/>
    <xf numFmtId="0" fontId="53" fillId="22" borderId="3" xfId="0" quotePrefix="1" applyFont="1" applyFill="1" applyBorder="1" applyAlignment="1" applyProtection="1">
      <alignment horizontal="center"/>
    </xf>
    <xf numFmtId="0" fontId="8" fillId="23" borderId="0" xfId="0" quotePrefix="1" applyFont="1" applyFill="1" applyBorder="1"/>
    <xf numFmtId="0" fontId="8" fillId="23" borderId="3" xfId="0" quotePrefix="1" applyFont="1" applyFill="1" applyBorder="1"/>
    <xf numFmtId="0" fontId="49" fillId="23" borderId="8" xfId="0" quotePrefix="1" applyFont="1" applyFill="1" applyBorder="1"/>
    <xf numFmtId="0" fontId="53" fillId="23" borderId="3" xfId="0" quotePrefix="1" applyFont="1" applyFill="1" applyBorder="1" applyAlignment="1" applyProtection="1">
      <alignment horizontal="center"/>
    </xf>
    <xf numFmtId="0" fontId="6" fillId="0" borderId="2" xfId="0" applyFont="1" applyFill="1" applyBorder="1" applyAlignment="1">
      <alignment horizontal="right"/>
    </xf>
    <xf numFmtId="0" fontId="47" fillId="10" borderId="2" xfId="0" applyFont="1" applyFill="1" applyBorder="1"/>
    <xf numFmtId="0" fontId="0" fillId="10" borderId="4" xfId="0" applyFill="1" applyBorder="1"/>
    <xf numFmtId="0" fontId="0" fillId="10" borderId="6" xfId="0" applyFill="1" applyBorder="1"/>
    <xf numFmtId="0" fontId="0" fillId="0" borderId="0" xfId="0"/>
    <xf numFmtId="0" fontId="49" fillId="21" borderId="0" xfId="0" quotePrefix="1" applyFont="1" applyFill="1" applyBorder="1"/>
    <xf numFmtId="0" fontId="49" fillId="18" borderId="0" xfId="0" quotePrefix="1" applyFont="1" applyFill="1" applyBorder="1"/>
    <xf numFmtId="0" fontId="49" fillId="22" borderId="0" xfId="0" quotePrefix="1" applyFont="1" applyFill="1" applyBorder="1"/>
    <xf numFmtId="0" fontId="54" fillId="0" borderId="0" xfId="0" applyFont="1"/>
    <xf numFmtId="0" fontId="55" fillId="24" borderId="8" xfId="0" applyFont="1" applyFill="1" applyBorder="1" applyAlignment="1">
      <alignment horizontal="center"/>
    </xf>
    <xf numFmtId="0" fontId="47" fillId="20" borderId="0" xfId="0" applyFont="1" applyFill="1" applyBorder="1" applyAlignment="1">
      <alignment horizontal="center"/>
    </xf>
    <xf numFmtId="0" fontId="55" fillId="24" borderId="11" xfId="0" applyFont="1" applyFill="1" applyBorder="1" applyAlignment="1">
      <alignment horizontal="center"/>
    </xf>
    <xf numFmtId="0" fontId="39" fillId="18" borderId="2" xfId="0" applyFont="1" applyFill="1" applyBorder="1"/>
    <xf numFmtId="0" fontId="39" fillId="18" borderId="4" xfId="0" applyFont="1" applyFill="1" applyBorder="1"/>
    <xf numFmtId="0" fontId="39" fillId="18" borderId="6" xfId="0" applyFont="1" applyFill="1" applyBorder="1"/>
    <xf numFmtId="0" fontId="55" fillId="24" borderId="10" xfId="0" applyFont="1" applyFill="1" applyBorder="1" applyAlignment="1">
      <alignment horizontal="center"/>
    </xf>
    <xf numFmtId="0" fontId="0" fillId="10" borderId="13" xfId="0" applyFill="1" applyBorder="1"/>
    <xf numFmtId="0" fontId="0" fillId="10" borderId="3" xfId="0" applyFill="1" applyBorder="1"/>
    <xf numFmtId="0" fontId="0" fillId="10" borderId="14" xfId="0" applyFill="1" applyBorder="1"/>
    <xf numFmtId="0" fontId="39" fillId="21" borderId="2" xfId="0" quotePrefix="1" applyFont="1" applyFill="1" applyBorder="1" applyAlignment="1"/>
    <xf numFmtId="0" fontId="39" fillId="21" borderId="4" xfId="0" quotePrefix="1" applyFont="1" applyFill="1" applyBorder="1" applyAlignment="1"/>
    <xf numFmtId="0" fontId="39" fillId="21" borderId="6" xfId="0" quotePrefix="1" applyFont="1" applyFill="1" applyBorder="1" applyAlignment="1"/>
    <xf numFmtId="0" fontId="56" fillId="20" borderId="0" xfId="0" applyFont="1" applyFill="1" applyBorder="1"/>
    <xf numFmtId="9" fontId="41" fillId="0" borderId="15" xfId="12" applyFont="1" applyBorder="1" applyAlignment="1">
      <alignment horizontal="center" vertical="center" wrapText="1"/>
    </xf>
    <xf numFmtId="9" fontId="41" fillId="25" borderId="16" xfId="12" applyFont="1" applyFill="1" applyBorder="1" applyAlignment="1">
      <alignment horizontal="center" vertical="center" wrapText="1"/>
    </xf>
    <xf numFmtId="9" fontId="41" fillId="25" borderId="17" xfId="12" applyFont="1" applyFill="1" applyBorder="1" applyAlignment="1">
      <alignment horizontal="center" vertical="center" wrapText="1"/>
    </xf>
    <xf numFmtId="9" fontId="41" fillId="0" borderId="18" xfId="12" applyFont="1" applyBorder="1" applyAlignment="1">
      <alignment horizontal="center" vertical="center" wrapText="1"/>
    </xf>
    <xf numFmtId="9" fontId="41" fillId="0" borderId="5" xfId="12" applyFont="1" applyBorder="1" applyAlignment="1">
      <alignment horizontal="center" vertical="center" wrapText="1"/>
    </xf>
    <xf numFmtId="9" fontId="41" fillId="25" borderId="5" xfId="12" applyFont="1" applyFill="1" applyBorder="1" applyAlignment="1">
      <alignment horizontal="center" vertical="center" wrapText="1"/>
    </xf>
    <xf numFmtId="9" fontId="41" fillId="25" borderId="19" xfId="12" applyFont="1" applyFill="1" applyBorder="1" applyAlignment="1">
      <alignment horizontal="center" vertical="center" wrapText="1"/>
    </xf>
    <xf numFmtId="0" fontId="41" fillId="26" borderId="20" xfId="0" applyFont="1" applyFill="1" applyBorder="1" applyAlignment="1">
      <alignment vertical="center" wrapText="1"/>
    </xf>
    <xf numFmtId="9" fontId="41" fillId="27" borderId="19" xfId="12" applyFont="1" applyFill="1" applyBorder="1" applyAlignment="1">
      <alignment horizontal="center" vertical="center" wrapText="1"/>
    </xf>
    <xf numFmtId="9" fontId="41" fillId="0" borderId="21" xfId="12" applyFont="1" applyBorder="1" applyAlignment="1">
      <alignment horizontal="center" vertical="center" wrapText="1"/>
    </xf>
    <xf numFmtId="9" fontId="41" fillId="0" borderId="22" xfId="12" applyFont="1" applyBorder="1" applyAlignment="1">
      <alignment horizontal="center" vertical="center" wrapText="1"/>
    </xf>
    <xf numFmtId="9" fontId="41" fillId="0" borderId="23" xfId="12" applyFont="1" applyBorder="1" applyAlignment="1">
      <alignment horizontal="center" vertical="center" wrapText="1"/>
    </xf>
    <xf numFmtId="0" fontId="39" fillId="21" borderId="5" xfId="0" quotePrefix="1" applyFont="1" applyFill="1" applyBorder="1" applyAlignment="1"/>
    <xf numFmtId="0" fontId="0" fillId="21" borderId="4" xfId="0" applyFill="1" applyBorder="1"/>
    <xf numFmtId="166" fontId="41" fillId="24" borderId="10" xfId="12" applyNumberFormat="1" applyFont="1" applyFill="1" applyBorder="1" applyAlignment="1" applyProtection="1">
      <protection locked="0"/>
    </xf>
    <xf numFmtId="0" fontId="41" fillId="28" borderId="20" xfId="0" applyFont="1" applyFill="1" applyBorder="1" applyAlignment="1">
      <alignment horizontal="justify" vertical="center"/>
    </xf>
    <xf numFmtId="0" fontId="41" fillId="0" borderId="15" xfId="0" applyFont="1" applyBorder="1" applyAlignment="1">
      <alignment horizontal="center" vertical="center" wrapText="1"/>
    </xf>
    <xf numFmtId="166" fontId="41" fillId="29" borderId="16" xfId="0" applyNumberFormat="1" applyFont="1" applyFill="1" applyBorder="1" applyAlignment="1">
      <alignment horizontal="center" vertical="center" wrapText="1"/>
    </xf>
    <xf numFmtId="0" fontId="41" fillId="25" borderId="16" xfId="0" applyFont="1" applyFill="1" applyBorder="1" applyAlignment="1">
      <alignment horizontal="center" vertical="center" wrapText="1"/>
    </xf>
    <xf numFmtId="0" fontId="41" fillId="25" borderId="17" xfId="0" applyFont="1" applyFill="1" applyBorder="1" applyAlignment="1">
      <alignment horizontal="center" vertical="center" wrapText="1"/>
    </xf>
    <xf numFmtId="0" fontId="39" fillId="21" borderId="2" xfId="0" applyFont="1" applyFill="1" applyBorder="1"/>
    <xf numFmtId="166" fontId="41" fillId="29" borderId="18" xfId="12" applyNumberFormat="1" applyFont="1" applyFill="1" applyBorder="1" applyAlignment="1" applyProtection="1">
      <alignment horizontal="center"/>
      <protection locked="0"/>
    </xf>
    <xf numFmtId="0" fontId="41" fillId="0" borderId="5" xfId="0" applyFont="1" applyBorder="1" applyAlignment="1">
      <alignment horizontal="center" vertical="center" wrapText="1"/>
    </xf>
    <xf numFmtId="0" fontId="41" fillId="25" borderId="5" xfId="0" applyFont="1" applyFill="1" applyBorder="1" applyAlignment="1">
      <alignment horizontal="center" vertical="center" wrapText="1"/>
    </xf>
    <xf numFmtId="0" fontId="41" fillId="25" borderId="19" xfId="0" applyFont="1" applyFill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26" borderId="20" xfId="0" applyFont="1" applyFill="1" applyBorder="1" applyAlignment="1">
      <alignment horizontal="justify" vertical="center"/>
    </xf>
    <xf numFmtId="0" fontId="41" fillId="27" borderId="19" xfId="0" applyFont="1" applyFill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41" fillId="0" borderId="22" xfId="0" applyFont="1" applyBorder="1" applyAlignment="1">
      <alignment horizontal="center" vertical="center" wrapText="1"/>
    </xf>
    <xf numFmtId="0" fontId="41" fillId="30" borderId="22" xfId="0" applyFont="1" applyFill="1" applyBorder="1" applyAlignment="1">
      <alignment horizontal="center" vertical="center" wrapText="1"/>
    </xf>
    <xf numFmtId="0" fontId="41" fillId="30" borderId="23" xfId="0" applyFont="1" applyFill="1" applyBorder="1" applyAlignment="1">
      <alignment horizontal="center" vertical="center" wrapText="1"/>
    </xf>
    <xf numFmtId="0" fontId="39" fillId="21" borderId="4" xfId="0" applyFont="1" applyFill="1" applyBorder="1"/>
    <xf numFmtId="0" fontId="39" fillId="21" borderId="6" xfId="0" applyFont="1" applyFill="1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55" fillId="24" borderId="24" xfId="0" applyFont="1" applyFill="1" applyBorder="1" applyAlignment="1">
      <alignment horizontal="center"/>
    </xf>
    <xf numFmtId="0" fontId="55" fillId="24" borderId="5" xfId="0" applyFont="1" applyFill="1" applyBorder="1" applyAlignment="1">
      <alignment horizontal="center"/>
    </xf>
    <xf numFmtId="0" fontId="55" fillId="24" borderId="0" xfId="0" applyFont="1" applyFill="1" applyBorder="1" applyAlignment="1">
      <alignment horizontal="center"/>
    </xf>
    <xf numFmtId="0" fontId="0" fillId="0" borderId="0" xfId="0"/>
    <xf numFmtId="0" fontId="55" fillId="24" borderId="25" xfId="0" applyFont="1" applyFill="1" applyBorder="1" applyAlignment="1">
      <alignment horizontal="center"/>
    </xf>
    <xf numFmtId="0" fontId="57" fillId="0" borderId="0" xfId="0" applyFont="1" applyFill="1" applyAlignment="1">
      <alignment horizontal="right"/>
    </xf>
    <xf numFmtId="9" fontId="57" fillId="0" borderId="0" xfId="0" applyNumberFormat="1" applyFont="1" applyFill="1" applyAlignment="1">
      <alignment horizontal="left"/>
    </xf>
    <xf numFmtId="0" fontId="0" fillId="21" borderId="6" xfId="0" applyFill="1" applyBorder="1"/>
    <xf numFmtId="0" fontId="56" fillId="20" borderId="0" xfId="0" applyFont="1" applyFill="1" applyBorder="1" applyAlignment="1"/>
    <xf numFmtId="0" fontId="58" fillId="28" borderId="26" xfId="0" applyFont="1" applyFill="1" applyBorder="1" applyAlignment="1">
      <alignment vertical="center"/>
    </xf>
    <xf numFmtId="0" fontId="41" fillId="28" borderId="27" xfId="0" applyFont="1" applyFill="1" applyBorder="1" applyAlignment="1">
      <alignment horizontal="center" vertical="center"/>
    </xf>
    <xf numFmtId="0" fontId="0" fillId="0" borderId="0" xfId="0" applyAlignment="1"/>
    <xf numFmtId="0" fontId="41" fillId="28" borderId="20" xfId="0" applyFont="1" applyFill="1" applyBorder="1" applyAlignment="1">
      <alignment vertical="center"/>
    </xf>
    <xf numFmtId="0" fontId="41" fillId="0" borderId="15" xfId="0" applyFont="1" applyBorder="1" applyAlignment="1">
      <alignment horizontal="center" vertical="center"/>
    </xf>
    <xf numFmtId="166" fontId="41" fillId="25" borderId="16" xfId="0" applyNumberFormat="1" applyFont="1" applyFill="1" applyBorder="1" applyAlignment="1">
      <alignment horizontal="center" vertical="center"/>
    </xf>
    <xf numFmtId="0" fontId="41" fillId="25" borderId="16" xfId="0" applyFont="1" applyFill="1" applyBorder="1" applyAlignment="1">
      <alignment horizontal="center" vertical="center"/>
    </xf>
    <xf numFmtId="0" fontId="41" fillId="25" borderId="17" xfId="0" applyFont="1" applyFill="1" applyBorder="1" applyAlignment="1">
      <alignment horizontal="center" vertical="center"/>
    </xf>
    <xf numFmtId="0" fontId="41" fillId="0" borderId="18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41" fillId="25" borderId="5" xfId="0" applyFont="1" applyFill="1" applyBorder="1" applyAlignment="1">
      <alignment horizontal="center" vertical="center"/>
    </xf>
    <xf numFmtId="0" fontId="41" fillId="25" borderId="19" xfId="0" applyFont="1" applyFill="1" applyBorder="1" applyAlignment="1">
      <alignment horizontal="center" vertical="center"/>
    </xf>
    <xf numFmtId="0" fontId="41" fillId="27" borderId="19" xfId="0" applyFont="1" applyFill="1" applyBorder="1" applyAlignment="1">
      <alignment horizontal="center" vertical="center"/>
    </xf>
    <xf numFmtId="0" fontId="41" fillId="0" borderId="21" xfId="0" applyFont="1" applyBorder="1" applyAlignment="1">
      <alignment horizontal="center" vertical="center"/>
    </xf>
    <xf numFmtId="0" fontId="41" fillId="0" borderId="22" xfId="0" applyFont="1" applyBorder="1" applyAlignment="1">
      <alignment horizontal="center" vertical="center"/>
    </xf>
    <xf numFmtId="0" fontId="41" fillId="0" borderId="23" xfId="0" applyFont="1" applyBorder="1" applyAlignment="1">
      <alignment horizontal="center" vertical="center"/>
    </xf>
    <xf numFmtId="0" fontId="1" fillId="24" borderId="8" xfId="0" applyFont="1" applyFill="1" applyBorder="1" applyAlignment="1"/>
    <xf numFmtId="0" fontId="0" fillId="24" borderId="8" xfId="0" applyFill="1" applyBorder="1"/>
    <xf numFmtId="0" fontId="1" fillId="24" borderId="11" xfId="0" applyFont="1" applyFill="1" applyBorder="1" applyAlignment="1">
      <alignment vertical="center"/>
    </xf>
    <xf numFmtId="0" fontId="7" fillId="24" borderId="8" xfId="0" applyFont="1" applyFill="1" applyBorder="1" applyAlignment="1">
      <alignment horizontal="left" indent="1"/>
    </xf>
    <xf numFmtId="0" fontId="4" fillId="24" borderId="8" xfId="0" applyFont="1" applyFill="1" applyBorder="1" applyAlignment="1">
      <alignment horizontal="left" indent="2"/>
    </xf>
    <xf numFmtId="0" fontId="4" fillId="24" borderId="8" xfId="0" applyFont="1" applyFill="1" applyBorder="1" applyAlignment="1">
      <alignment horizontal="left" wrapText="1" indent="2"/>
    </xf>
    <xf numFmtId="0" fontId="2" fillId="24" borderId="10" xfId="0" applyFont="1" applyFill="1" applyBorder="1"/>
    <xf numFmtId="0" fontId="59" fillId="0" borderId="0" xfId="0" applyFont="1" applyFill="1"/>
    <xf numFmtId="0" fontId="12" fillId="0" borderId="0" xfId="0" applyFont="1" applyFill="1" applyBorder="1" applyAlignment="1">
      <alignment horizontal="center" vertical="top" wrapText="1"/>
    </xf>
    <xf numFmtId="0" fontId="0" fillId="11" borderId="8" xfId="0" applyFill="1" applyBorder="1" applyAlignment="1"/>
    <xf numFmtId="0" fontId="2" fillId="0" borderId="11" xfId="0" applyFont="1" applyBorder="1" applyAlignment="1">
      <alignment horizontal="left" vertical="center"/>
    </xf>
    <xf numFmtId="0" fontId="0" fillId="0" borderId="0" xfId="0" applyFill="1" applyAlignment="1">
      <alignment horizontal="center"/>
    </xf>
    <xf numFmtId="0" fontId="55" fillId="0" borderId="0" xfId="0" applyFont="1" applyFill="1" applyAlignment="1">
      <alignment horizontal="center"/>
    </xf>
    <xf numFmtId="9" fontId="41" fillId="4" borderId="10" xfId="12" applyNumberFormat="1" applyFont="1" applyFill="1" applyBorder="1" applyAlignment="1">
      <alignment horizontal="center"/>
    </xf>
    <xf numFmtId="9" fontId="41" fillId="4" borderId="5" xfId="12" applyFont="1" applyFill="1" applyBorder="1" applyAlignment="1" applyProtection="1">
      <alignment horizontal="center" vertical="center"/>
      <protection locked="0"/>
    </xf>
    <xf numFmtId="0" fontId="56" fillId="0" borderId="2" xfId="0" applyFont="1" applyBorder="1"/>
    <xf numFmtId="0" fontId="0" fillId="0" borderId="4" xfId="0" applyFill="1" applyBorder="1"/>
    <xf numFmtId="0" fontId="0" fillId="0" borderId="6" xfId="0" applyFill="1" applyBorder="1"/>
    <xf numFmtId="0" fontId="55" fillId="10" borderId="5" xfId="0" applyFont="1" applyFill="1" applyBorder="1" applyAlignment="1">
      <alignment horizontal="center"/>
    </xf>
    <xf numFmtId="0" fontId="59" fillId="10" borderId="12" xfId="0" applyFont="1" applyFill="1" applyBorder="1"/>
    <xf numFmtId="0" fontId="0" fillId="10" borderId="12" xfId="0" applyFill="1" applyBorder="1"/>
    <xf numFmtId="0" fontId="59" fillId="10" borderId="7" xfId="0" applyFont="1" applyFill="1" applyBorder="1"/>
    <xf numFmtId="0" fontId="0" fillId="10" borderId="0" xfId="0" applyFill="1" applyBorder="1"/>
    <xf numFmtId="0" fontId="59" fillId="10" borderId="9" xfId="0" applyFont="1" applyFill="1" applyBorder="1"/>
    <xf numFmtId="0" fontId="0" fillId="10" borderId="1" xfId="0" applyFill="1" applyBorder="1"/>
    <xf numFmtId="0" fontId="28" fillId="19" borderId="0" xfId="0" quotePrefix="1" applyFont="1" applyFill="1" applyBorder="1"/>
    <xf numFmtId="0" fontId="28" fillId="19" borderId="3" xfId="0" quotePrefix="1" applyFont="1" applyFill="1" applyBorder="1"/>
    <xf numFmtId="0" fontId="2" fillId="0" borderId="11" xfId="0" applyFont="1" applyBorder="1" applyAlignment="1">
      <alignment horizontal="left" vertical="center" wrapText="1"/>
    </xf>
    <xf numFmtId="0" fontId="0" fillId="24" borderId="0" xfId="0" applyFill="1" applyAlignment="1">
      <alignment horizontal="center"/>
    </xf>
    <xf numFmtId="0" fontId="2" fillId="0" borderId="12" xfId="0" applyFont="1" applyBorder="1" applyAlignment="1">
      <alignment horizontal="left" vertical="center" wrapText="1"/>
    </xf>
    <xf numFmtId="166" fontId="41" fillId="25" borderId="17" xfId="0" applyNumberFormat="1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right"/>
    </xf>
    <xf numFmtId="164" fontId="29" fillId="4" borderId="11" xfId="1" applyFont="1" applyFill="1" applyBorder="1" applyAlignment="1" applyProtection="1">
      <alignment horizontal="center"/>
      <protection locked="0"/>
    </xf>
    <xf numFmtId="0" fontId="12" fillId="0" borderId="11" xfId="0" applyFont="1" applyBorder="1" applyAlignment="1">
      <alignment horizontal="center" vertical="center" wrapText="1"/>
    </xf>
    <xf numFmtId="0" fontId="12" fillId="0" borderId="5" xfId="0" applyNumberFormat="1" applyFont="1" applyBorder="1" applyAlignment="1">
      <alignment horizontal="centerContinuous" vertical="center" wrapText="1"/>
    </xf>
    <xf numFmtId="164" fontId="12" fillId="6" borderId="5" xfId="1" applyFont="1" applyFill="1" applyBorder="1" applyAlignment="1">
      <alignment horizontal="center" vertical="center" wrapText="1"/>
    </xf>
    <xf numFmtId="164" fontId="12" fillId="6" borderId="5" xfId="1" applyFont="1" applyFill="1" applyBorder="1" applyAlignment="1">
      <alignment horizontal="center" vertical="center"/>
    </xf>
    <xf numFmtId="0" fontId="39" fillId="18" borderId="24" xfId="0" applyFont="1" applyFill="1" applyBorder="1" applyAlignment="1">
      <alignment vertical="center"/>
    </xf>
    <xf numFmtId="0" fontId="39" fillId="18" borderId="12" xfId="0" applyFont="1" applyFill="1" applyBorder="1" applyAlignment="1">
      <alignment vertical="center"/>
    </xf>
    <xf numFmtId="0" fontId="39" fillId="18" borderId="13" xfId="0" applyFont="1" applyFill="1" applyBorder="1" applyAlignment="1">
      <alignment vertical="center"/>
    </xf>
    <xf numFmtId="0" fontId="55" fillId="24" borderId="28" xfId="0" applyFont="1" applyFill="1" applyBorder="1" applyAlignment="1">
      <alignment horizontal="center"/>
    </xf>
    <xf numFmtId="0" fontId="55" fillId="24" borderId="29" xfId="0" applyFont="1" applyFill="1" applyBorder="1" applyAlignment="1">
      <alignment horizontal="center"/>
    </xf>
    <xf numFmtId="0" fontId="0" fillId="10" borderId="3" xfId="0" applyFill="1" applyBorder="1"/>
    <xf numFmtId="0" fontId="0" fillId="0" borderId="12" xfId="0" applyFill="1" applyBorder="1"/>
    <xf numFmtId="0" fontId="40" fillId="13" borderId="0" xfId="2" quotePrefix="1" applyFill="1" applyBorder="1" applyAlignment="1">
      <alignment horizontal="right" vertical="center" wrapText="1"/>
    </xf>
    <xf numFmtId="0" fontId="0" fillId="18" borderId="4" xfId="0" applyFill="1" applyBorder="1"/>
    <xf numFmtId="0" fontId="0" fillId="18" borderId="6" xfId="0" applyFill="1" applyBorder="1"/>
    <xf numFmtId="0" fontId="14" fillId="0" borderId="2" xfId="0" applyFont="1" applyBorder="1"/>
    <xf numFmtId="0" fontId="14" fillId="0" borderId="4" xfId="0" applyFont="1" applyBorder="1"/>
    <xf numFmtId="0" fontId="0" fillId="10" borderId="0" xfId="0" applyFill="1" applyBorder="1"/>
    <xf numFmtId="0" fontId="2" fillId="24" borderId="2" xfId="0" applyFont="1" applyFill="1" applyBorder="1"/>
    <xf numFmtId="0" fontId="47" fillId="20" borderId="11" xfId="0" applyFont="1" applyFill="1" applyBorder="1" applyAlignment="1">
      <alignment horizontal="center"/>
    </xf>
    <xf numFmtId="0" fontId="50" fillId="20" borderId="10" xfId="0" applyFont="1" applyFill="1" applyBorder="1" applyAlignment="1">
      <alignment horizontal="center"/>
    </xf>
    <xf numFmtId="0" fontId="47" fillId="20" borderId="2" xfId="0" applyFont="1" applyFill="1" applyBorder="1" applyAlignment="1">
      <alignment horizontal="center"/>
    </xf>
    <xf numFmtId="0" fontId="50" fillId="20" borderId="6" xfId="0" applyFont="1" applyFill="1" applyBorder="1" applyAlignment="1">
      <alignment horizontal="center"/>
    </xf>
    <xf numFmtId="0" fontId="60" fillId="21" borderId="5" xfId="0" quotePrefix="1" applyFont="1" applyFill="1" applyBorder="1" applyAlignment="1"/>
    <xf numFmtId="0" fontId="0" fillId="24" borderId="11" xfId="0" applyFill="1" applyBorder="1"/>
    <xf numFmtId="0" fontId="0" fillId="24" borderId="8" xfId="0" applyFill="1" applyBorder="1"/>
    <xf numFmtId="0" fontId="0" fillId="24" borderId="10" xfId="0" applyFill="1" applyBorder="1"/>
    <xf numFmtId="0" fontId="5" fillId="7" borderId="12" xfId="0" applyFont="1" applyFill="1" applyBorder="1" applyAlignment="1" applyProtection="1">
      <alignment horizontal="right"/>
    </xf>
    <xf numFmtId="0" fontId="47" fillId="20" borderId="0" xfId="0" applyFont="1" applyFill="1" applyBorder="1"/>
    <xf numFmtId="0" fontId="41" fillId="0" borderId="0" xfId="0" applyFont="1" applyBorder="1" applyAlignment="1">
      <alignment horizontal="center" vertical="center"/>
    </xf>
    <xf numFmtId="3" fontId="0" fillId="0" borderId="0" xfId="0" applyNumberFormat="1" applyFill="1"/>
    <xf numFmtId="0" fontId="0" fillId="0" borderId="11" xfId="0" applyFill="1" applyBorder="1" applyAlignment="1">
      <alignment horizontal="center"/>
    </xf>
    <xf numFmtId="0" fontId="55" fillId="24" borderId="30" xfId="0" applyFont="1" applyFill="1" applyBorder="1" applyAlignment="1">
      <alignment horizontal="center"/>
    </xf>
    <xf numFmtId="0" fontId="0" fillId="0" borderId="5" xfId="0" applyBorder="1" applyProtection="1"/>
    <xf numFmtId="9" fontId="0" fillId="0" borderId="8" xfId="0" applyNumberFormat="1" applyBorder="1" applyAlignment="1" applyProtection="1">
      <alignment horizontal="center"/>
    </xf>
    <xf numFmtId="9" fontId="0" fillId="0" borderId="0" xfId="0" applyNumberFormat="1" applyBorder="1" applyProtection="1"/>
    <xf numFmtId="9" fontId="0" fillId="0" borderId="3" xfId="0" applyNumberFormat="1" applyBorder="1" applyProtection="1"/>
    <xf numFmtId="9" fontId="0" fillId="0" borderId="10" xfId="0" applyNumberFormat="1" applyBorder="1" applyAlignment="1" applyProtection="1">
      <alignment horizontal="center"/>
    </xf>
    <xf numFmtId="0" fontId="0" fillId="0" borderId="0" xfId="0"/>
    <xf numFmtId="0" fontId="0" fillId="10" borderId="0" xfId="0" applyFill="1"/>
    <xf numFmtId="0" fontId="41" fillId="0" borderId="5" xfId="0" applyFont="1" applyBorder="1" applyAlignment="1">
      <alignment horizontal="center" vertical="center" wrapText="1"/>
    </xf>
    <xf numFmtId="0" fontId="54" fillId="0" borderId="0" xfId="0" applyFont="1" applyFill="1"/>
    <xf numFmtId="0" fontId="55" fillId="24" borderId="8" xfId="0" applyFont="1" applyFill="1" applyBorder="1" applyAlignment="1">
      <alignment horizontal="center" vertical="center"/>
    </xf>
    <xf numFmtId="0" fontId="55" fillId="24" borderId="8" xfId="0" applyFont="1" applyFill="1" applyBorder="1" applyAlignment="1">
      <alignment vertical="center"/>
    </xf>
    <xf numFmtId="0" fontId="55" fillId="24" borderId="7" xfId="0" applyFont="1" applyFill="1" applyBorder="1" applyAlignment="1">
      <alignment horizontal="center"/>
    </xf>
    <xf numFmtId="0" fontId="55" fillId="24" borderId="11" xfId="0" applyFont="1" applyFill="1" applyBorder="1" applyAlignment="1">
      <alignment horizontal="center" vertical="center"/>
    </xf>
    <xf numFmtId="0" fontId="55" fillId="24" borderId="10" xfId="0" applyFont="1" applyFill="1" applyBorder="1" applyAlignment="1">
      <alignment horizontal="center" vertical="center"/>
    </xf>
    <xf numFmtId="0" fontId="55" fillId="24" borderId="24" xfId="0" applyFont="1" applyFill="1" applyBorder="1" applyAlignment="1">
      <alignment vertical="center"/>
    </xf>
    <xf numFmtId="0" fontId="55" fillId="24" borderId="10" xfId="0" applyFont="1" applyFill="1" applyBorder="1" applyAlignment="1">
      <alignment vertical="center"/>
    </xf>
    <xf numFmtId="0" fontId="12" fillId="0" borderId="5" xfId="0" applyNumberFormat="1" applyFont="1" applyBorder="1" applyAlignment="1">
      <alignment horizontal="centerContinuous" vertical="center"/>
    </xf>
    <xf numFmtId="0" fontId="55" fillId="24" borderId="0" xfId="0" applyFont="1" applyFill="1" applyBorder="1" applyAlignment="1">
      <alignment horizontal="center" vertical="center"/>
    </xf>
    <xf numFmtId="0" fontId="41" fillId="28" borderId="31" xfId="0" applyFont="1" applyFill="1" applyBorder="1" applyAlignment="1">
      <alignment vertical="center" wrapText="1"/>
    </xf>
    <xf numFmtId="0" fontId="41" fillId="28" borderId="20" xfId="0" applyFont="1" applyFill="1" applyBorder="1" applyAlignment="1">
      <alignment vertical="center" wrapText="1"/>
    </xf>
    <xf numFmtId="3" fontId="0" fillId="14" borderId="8" xfId="0" applyNumberFormat="1" applyFill="1" applyBorder="1" applyAlignment="1">
      <alignment horizontal="right"/>
    </xf>
    <xf numFmtId="3" fontId="0" fillId="14" borderId="11" xfId="0" applyNumberFormat="1" applyFill="1" applyBorder="1" applyAlignment="1">
      <alignment horizontal="right"/>
    </xf>
    <xf numFmtId="3" fontId="0" fillId="14" borderId="10" xfId="0" applyNumberFormat="1" applyFill="1" applyBorder="1" applyAlignment="1">
      <alignment horizontal="right"/>
    </xf>
    <xf numFmtId="0" fontId="41" fillId="31" borderId="5" xfId="0" applyFont="1" applyFill="1" applyBorder="1" applyAlignment="1">
      <alignment horizontal="center"/>
    </xf>
    <xf numFmtId="2" fontId="41" fillId="14" borderId="8" xfId="0" applyNumberFormat="1" applyFont="1" applyFill="1" applyBorder="1" applyAlignment="1">
      <alignment horizontal="right"/>
    </xf>
    <xf numFmtId="2" fontId="41" fillId="14" borderId="11" xfId="0" applyNumberFormat="1" applyFont="1" applyFill="1" applyBorder="1" applyAlignment="1">
      <alignment horizontal="right"/>
    </xf>
    <xf numFmtId="2" fontId="41" fillId="14" borderId="11" xfId="0" applyNumberFormat="1" applyFont="1" applyFill="1" applyBorder="1" applyAlignment="1">
      <alignment horizontal="right"/>
    </xf>
    <xf numFmtId="2" fontId="41" fillId="14" borderId="10" xfId="0" applyNumberFormat="1" applyFont="1" applyFill="1" applyBorder="1" applyAlignment="1">
      <alignment horizontal="right"/>
    </xf>
    <xf numFmtId="2" fontId="41" fillId="14" borderId="5" xfId="0" applyNumberFormat="1" applyFont="1" applyFill="1" applyBorder="1" applyAlignment="1">
      <alignment horizontal="right"/>
    </xf>
    <xf numFmtId="2" fontId="41" fillId="14" borderId="5" xfId="0" applyNumberFormat="1" applyFont="1" applyFill="1" applyBorder="1" applyAlignment="1">
      <alignment horizontal="right"/>
    </xf>
    <xf numFmtId="3" fontId="0" fillId="14" borderId="5" xfId="0" applyNumberFormat="1" applyFill="1" applyBorder="1" applyAlignment="1">
      <alignment horizontal="right"/>
    </xf>
    <xf numFmtId="0" fontId="12" fillId="0" borderId="0" xfId="0" applyNumberFormat="1" applyFont="1" applyBorder="1" applyAlignment="1">
      <alignment horizontal="center" vertical="center" wrapText="1"/>
    </xf>
    <xf numFmtId="0" fontId="61" fillId="8" borderId="2" xfId="0" applyFont="1" applyFill="1" applyBorder="1" applyAlignment="1"/>
    <xf numFmtId="0" fontId="0" fillId="0" borderId="5" xfId="0" applyBorder="1" applyAlignment="1" applyProtection="1">
      <alignment horizontal="left"/>
    </xf>
    <xf numFmtId="0" fontId="0" fillId="0" borderId="5" xfId="0" applyBorder="1" applyAlignment="1" applyProtection="1">
      <alignment horizontal="left"/>
    </xf>
    <xf numFmtId="0" fontId="47" fillId="24" borderId="5" xfId="0" applyFont="1" applyFill="1" applyBorder="1" applyAlignment="1">
      <alignment horizontal="center"/>
    </xf>
    <xf numFmtId="0" fontId="47" fillId="7" borderId="0" xfId="0" applyFont="1" applyFill="1" applyProtection="1"/>
    <xf numFmtId="0" fontId="49" fillId="7" borderId="5" xfId="0" applyFont="1" applyFill="1" applyBorder="1" applyAlignment="1" applyProtection="1">
      <alignment horizontal="center"/>
    </xf>
    <xf numFmtId="0" fontId="5" fillId="7" borderId="12" xfId="0" applyFont="1" applyFill="1" applyBorder="1" applyAlignment="1" applyProtection="1">
      <alignment horizontal="center"/>
    </xf>
    <xf numFmtId="0" fontId="0" fillId="24" borderId="13" xfId="0" applyFill="1" applyBorder="1"/>
    <xf numFmtId="0" fontId="0" fillId="0" borderId="0" xfId="0" applyFont="1" applyBorder="1"/>
    <xf numFmtId="165" fontId="62" fillId="31" borderId="2" xfId="0" applyNumberFormat="1" applyFont="1" applyFill="1" applyBorder="1" applyAlignment="1">
      <alignment horizontal="centerContinuous" vertical="center"/>
    </xf>
    <xf numFmtId="0" fontId="5" fillId="7" borderId="8" xfId="0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0" fontId="5" fillId="7" borderId="0" xfId="0" applyFont="1" applyFill="1" applyAlignment="1">
      <alignment horizontal="center" vertical="center"/>
    </xf>
    <xf numFmtId="0" fontId="49" fillId="7" borderId="11" xfId="0" applyFont="1" applyFill="1" applyBorder="1" applyAlignment="1">
      <alignment horizontal="center"/>
    </xf>
    <xf numFmtId="0" fontId="49" fillId="7" borderId="8" xfId="0" applyFont="1" applyFill="1" applyBorder="1" applyAlignment="1">
      <alignment horizontal="center"/>
    </xf>
    <xf numFmtId="0" fontId="63" fillId="11" borderId="10" xfId="0" applyFont="1" applyFill="1" applyBorder="1"/>
    <xf numFmtId="0" fontId="49" fillId="7" borderId="10" xfId="0" applyFont="1" applyFill="1" applyBorder="1" applyAlignment="1">
      <alignment horizontal="center"/>
    </xf>
    <xf numFmtId="0" fontId="63" fillId="11" borderId="14" xfId="0" applyFont="1" applyFill="1" applyBorder="1"/>
    <xf numFmtId="0" fontId="10" fillId="19" borderId="8" xfId="0" applyFont="1" applyFill="1" applyBorder="1"/>
    <xf numFmtId="0" fontId="10" fillId="19" borderId="10" xfId="0" applyFont="1" applyFill="1" applyBorder="1"/>
    <xf numFmtId="0" fontId="10" fillId="19" borderId="11" xfId="0" applyFont="1" applyFill="1" applyBorder="1"/>
    <xf numFmtId="0" fontId="10" fillId="19" borderId="5" xfId="0" applyFont="1" applyFill="1" applyBorder="1"/>
    <xf numFmtId="0" fontId="64" fillId="31" borderId="6" xfId="0" applyFont="1" applyFill="1" applyBorder="1" applyAlignment="1" applyProtection="1">
      <alignment horizontal="centerContinuous"/>
      <protection locked="0"/>
    </xf>
    <xf numFmtId="0" fontId="65" fillId="8" borderId="2" xfId="0" applyFont="1" applyFill="1" applyBorder="1" applyAlignment="1"/>
    <xf numFmtId="0" fontId="62" fillId="0" borderId="0" xfId="0" applyFont="1" applyFill="1"/>
    <xf numFmtId="0" fontId="63" fillId="11" borderId="5" xfId="0" applyFont="1" applyFill="1" applyBorder="1"/>
    <xf numFmtId="0" fontId="63" fillId="0" borderId="0" xfId="0" applyFont="1" applyFill="1" applyAlignment="1"/>
    <xf numFmtId="0" fontId="63" fillId="31" borderId="2" xfId="0" applyFont="1" applyFill="1" applyBorder="1" applyAlignment="1" applyProtection="1">
      <alignment horizontal="centerContinuous"/>
      <protection locked="0"/>
    </xf>
    <xf numFmtId="166" fontId="41" fillId="2" borderId="11" xfId="12" applyNumberFormat="1" applyFont="1" applyFill="1" applyBorder="1" applyAlignment="1" applyProtection="1">
      <alignment horizontal="right" vertical="center"/>
      <protection locked="0"/>
    </xf>
    <xf numFmtId="166" fontId="41" fillId="2" borderId="8" xfId="12" applyNumberFormat="1" applyFont="1" applyFill="1" applyBorder="1" applyAlignment="1" applyProtection="1">
      <alignment horizontal="right" vertical="center"/>
      <protection locked="0"/>
    </xf>
    <xf numFmtId="166" fontId="41" fillId="4" borderId="11" xfId="12" applyNumberFormat="1" applyFont="1" applyFill="1" applyBorder="1" applyAlignment="1">
      <alignment horizontal="right" vertical="center"/>
    </xf>
    <xf numFmtId="166" fontId="41" fillId="4" borderId="8" xfId="12" applyNumberFormat="1" applyFont="1" applyFill="1" applyBorder="1" applyAlignment="1">
      <alignment horizontal="right" vertical="center"/>
    </xf>
    <xf numFmtId="166" fontId="41" fillId="4" borderId="10" xfId="12" applyNumberFormat="1" applyFont="1" applyFill="1" applyBorder="1" applyAlignment="1">
      <alignment horizontal="right" vertical="center"/>
    </xf>
    <xf numFmtId="166" fontId="41" fillId="4" borderId="10" xfId="12" applyNumberFormat="1" applyFont="1" applyFill="1" applyBorder="1" applyAlignment="1" applyProtection="1">
      <alignment horizontal="right" vertical="center"/>
      <protection locked="0"/>
    </xf>
    <xf numFmtId="0" fontId="39" fillId="21" borderId="2" xfId="0" quotePrefix="1" applyFont="1" applyFill="1" applyBorder="1" applyAlignment="1">
      <alignment vertical="center"/>
    </xf>
    <xf numFmtId="166" fontId="41" fillId="2" borderId="10" xfId="12" applyNumberFormat="1" applyFont="1" applyFill="1" applyBorder="1" applyAlignment="1" applyProtection="1">
      <alignment horizontal="right" vertical="center"/>
      <protection locked="0"/>
    </xf>
    <xf numFmtId="168" fontId="1" fillId="15" borderId="5" xfId="1" applyNumberFormat="1" applyFont="1" applyFill="1" applyBorder="1" applyAlignment="1">
      <alignment horizontal="right"/>
    </xf>
    <xf numFmtId="164" fontId="62" fillId="15" borderId="8" xfId="1" applyFont="1" applyFill="1" applyBorder="1" applyAlignment="1">
      <alignment horizontal="right"/>
    </xf>
    <xf numFmtId="0" fontId="62" fillId="15" borderId="8" xfId="1" applyNumberFormat="1" applyFont="1" applyFill="1" applyBorder="1" applyAlignment="1">
      <alignment horizontal="right"/>
    </xf>
    <xf numFmtId="164" fontId="41" fillId="14" borderId="8" xfId="1" applyFont="1" applyFill="1" applyBorder="1" applyAlignment="1">
      <alignment horizontal="right"/>
    </xf>
    <xf numFmtId="0" fontId="62" fillId="15" borderId="11" xfId="1" applyNumberFormat="1" applyFont="1" applyFill="1" applyBorder="1" applyAlignment="1">
      <alignment horizontal="right"/>
    </xf>
    <xf numFmtId="0" fontId="0" fillId="0" borderId="13" xfId="0" applyFill="1" applyBorder="1"/>
    <xf numFmtId="0" fontId="0" fillId="0" borderId="3" xfId="0" applyFill="1" applyBorder="1"/>
    <xf numFmtId="0" fontId="0" fillId="0" borderId="24" xfId="0" applyFill="1" applyBorder="1"/>
    <xf numFmtId="0" fontId="0" fillId="0" borderId="9" xfId="0" applyFill="1" applyBorder="1"/>
    <xf numFmtId="0" fontId="0" fillId="0" borderId="14" xfId="0" applyFill="1" applyBorder="1"/>
    <xf numFmtId="165" fontId="62" fillId="31" borderId="10" xfId="0" applyNumberFormat="1" applyFont="1" applyFill="1" applyBorder="1" applyAlignment="1">
      <alignment horizontal="center" vertical="center"/>
    </xf>
    <xf numFmtId="165" fontId="62" fillId="31" borderId="8" xfId="0" applyNumberFormat="1" applyFont="1" applyFill="1" applyBorder="1" applyAlignment="1">
      <alignment horizontal="centerContinuous" vertical="center"/>
    </xf>
    <xf numFmtId="0" fontId="41" fillId="28" borderId="31" xfId="0" applyFont="1" applyFill="1" applyBorder="1" applyAlignment="1">
      <alignment vertical="center" wrapText="1"/>
    </xf>
    <xf numFmtId="0" fontId="41" fillId="28" borderId="20" xfId="0" applyFont="1" applyFill="1" applyBorder="1" applyAlignment="1">
      <alignment vertical="center" wrapText="1"/>
    </xf>
    <xf numFmtId="0" fontId="0" fillId="0" borderId="0" xfId="0" applyBorder="1"/>
    <xf numFmtId="0" fontId="0" fillId="0" borderId="3" xfId="0" applyBorder="1"/>
    <xf numFmtId="0" fontId="41" fillId="12" borderId="2" xfId="11" applyFont="1" applyBorder="1"/>
    <xf numFmtId="0" fontId="37" fillId="12" borderId="4" xfId="11" applyFont="1" applyBorder="1"/>
    <xf numFmtId="0" fontId="37" fillId="12" borderId="6" xfId="11" applyFont="1" applyBorder="1"/>
    <xf numFmtId="3" fontId="41" fillId="12" borderId="10" xfId="11" quotePrefix="1" applyNumberFormat="1" applyFont="1" applyBorder="1" applyAlignment="1" applyProtection="1">
      <alignment horizontal="right" wrapText="1"/>
      <protection locked="0"/>
    </xf>
    <xf numFmtId="3" fontId="41" fillId="12" borderId="5" xfId="11" applyNumberFormat="1" applyFont="1" applyBorder="1" applyAlignment="1" applyProtection="1">
      <alignment horizontal="right" vertical="center"/>
      <protection locked="0"/>
    </xf>
    <xf numFmtId="3" fontId="41" fillId="12" borderId="10" xfId="11" applyNumberFormat="1" applyFont="1" applyBorder="1" applyAlignment="1" applyProtection="1">
      <alignment horizontal="right"/>
      <protection locked="0"/>
    </xf>
    <xf numFmtId="3" fontId="41" fillId="12" borderId="11" xfId="11" applyNumberFormat="1" applyFont="1" applyBorder="1" applyAlignment="1">
      <alignment horizontal="right" vertical="center"/>
    </xf>
    <xf numFmtId="3" fontId="37" fillId="12" borderId="5" xfId="11" applyNumberFormat="1" applyFont="1" applyBorder="1" applyAlignment="1"/>
    <xf numFmtId="3" fontId="41" fillId="12" borderId="11" xfId="11" applyNumberFormat="1" applyFont="1" applyBorder="1" applyAlignment="1"/>
    <xf numFmtId="3" fontId="41" fillId="12" borderId="5" xfId="11" applyNumberFormat="1" applyFont="1" applyBorder="1" applyAlignment="1">
      <alignment horizontal="right" vertical="center"/>
    </xf>
    <xf numFmtId="3" fontId="41" fillId="12" borderId="8" xfId="11" applyNumberFormat="1" applyFont="1" applyBorder="1" applyAlignment="1" applyProtection="1">
      <alignment horizontal="right" vertical="center"/>
      <protection locked="0"/>
    </xf>
    <xf numFmtId="166" fontId="41" fillId="12" borderId="11" xfId="11" applyNumberFormat="1" applyFont="1" applyBorder="1" applyAlignment="1">
      <alignment horizontal="right" vertical="center"/>
    </xf>
    <xf numFmtId="166" fontId="41" fillId="12" borderId="8" xfId="11" applyNumberFormat="1" applyFont="1" applyBorder="1" applyAlignment="1">
      <alignment horizontal="right" vertical="center"/>
    </xf>
    <xf numFmtId="3" fontId="41" fillId="12" borderId="8" xfId="11" applyNumberFormat="1" applyFont="1" applyBorder="1" applyAlignment="1">
      <alignment horizontal="right" vertical="center"/>
    </xf>
    <xf numFmtId="166" fontId="41" fillId="12" borderId="10" xfId="11" applyNumberFormat="1" applyFont="1" applyBorder="1" applyAlignment="1">
      <alignment horizontal="right" vertical="center"/>
    </xf>
    <xf numFmtId="3" fontId="41" fillId="12" borderId="10" xfId="11" applyNumberFormat="1" applyFont="1" applyBorder="1" applyAlignment="1">
      <alignment horizontal="right" vertical="center"/>
    </xf>
    <xf numFmtId="9" fontId="44" fillId="12" borderId="8" xfId="11" applyNumberFormat="1" applyFont="1" applyBorder="1" applyAlignment="1">
      <alignment horizontal="center"/>
    </xf>
    <xf numFmtId="9" fontId="44" fillId="12" borderId="10" xfId="11" applyNumberFormat="1" applyFont="1" applyBorder="1" applyAlignment="1">
      <alignment horizontal="center"/>
    </xf>
    <xf numFmtId="166" fontId="44" fillId="12" borderId="11" xfId="11" applyNumberFormat="1" applyFont="1" applyBorder="1" applyAlignment="1">
      <alignment horizontal="center"/>
    </xf>
    <xf numFmtId="166" fontId="44" fillId="12" borderId="8" xfId="11" applyNumberFormat="1" applyFont="1" applyBorder="1" applyAlignment="1">
      <alignment horizontal="center"/>
    </xf>
    <xf numFmtId="166" fontId="44" fillId="12" borderId="10" xfId="11" applyNumberFormat="1" applyFont="1" applyBorder="1" applyAlignment="1">
      <alignment horizontal="center"/>
    </xf>
    <xf numFmtId="0" fontId="17" fillId="8" borderId="6" xfId="0" applyFont="1" applyFill="1" applyBorder="1" applyAlignment="1"/>
    <xf numFmtId="0" fontId="0" fillId="0" borderId="0" xfId="0" applyAlignment="1"/>
    <xf numFmtId="0" fontId="0" fillId="0" borderId="0" xfId="0"/>
    <xf numFmtId="9" fontId="9" fillId="0" borderId="8" xfId="12" applyFont="1" applyBorder="1"/>
    <xf numFmtId="9" fontId="9" fillId="0" borderId="10" xfId="12" applyFont="1" applyBorder="1"/>
    <xf numFmtId="166" fontId="9" fillId="0" borderId="11" xfId="12" applyNumberFormat="1" applyFont="1" applyBorder="1"/>
    <xf numFmtId="166" fontId="9" fillId="0" borderId="8" xfId="12" applyNumberFormat="1" applyFont="1" applyBorder="1"/>
    <xf numFmtId="166" fontId="9" fillId="0" borderId="10" xfId="12" applyNumberFormat="1" applyFont="1" applyBorder="1"/>
    <xf numFmtId="164" fontId="66" fillId="6" borderId="5" xfId="1" applyFont="1" applyFill="1" applyBorder="1" applyAlignment="1">
      <alignment horizontal="center" vertical="center" wrapText="1"/>
    </xf>
    <xf numFmtId="164" fontId="41" fillId="12" borderId="8" xfId="11" applyNumberFormat="1" applyFont="1" applyBorder="1" applyAlignment="1">
      <alignment horizontal="right"/>
    </xf>
    <xf numFmtId="164" fontId="41" fillId="14" borderId="10" xfId="1" applyFont="1" applyFill="1" applyBorder="1" applyAlignment="1">
      <alignment horizontal="right"/>
    </xf>
    <xf numFmtId="164" fontId="41" fillId="12" borderId="10" xfId="11" applyNumberFormat="1" applyFont="1" applyBorder="1" applyAlignment="1">
      <alignment horizontal="right"/>
    </xf>
    <xf numFmtId="164" fontId="66" fillId="6" borderId="10" xfId="1" applyFont="1" applyFill="1" applyBorder="1" applyAlignment="1">
      <alignment horizontal="center" vertical="center" wrapText="1"/>
    </xf>
    <xf numFmtId="164" fontId="41" fillId="14" borderId="5" xfId="1" applyFont="1" applyFill="1" applyBorder="1" applyAlignment="1">
      <alignment horizontal="right"/>
    </xf>
    <xf numFmtId="0" fontId="62" fillId="3" borderId="7" xfId="4" applyFont="1" applyBorder="1"/>
    <xf numFmtId="0" fontId="62" fillId="3" borderId="8" xfId="4" applyFont="1" applyBorder="1"/>
    <xf numFmtId="0" fontId="1" fillId="3" borderId="8" xfId="4" applyBorder="1"/>
    <xf numFmtId="0" fontId="1" fillId="3" borderId="11" xfId="4" applyBorder="1"/>
    <xf numFmtId="0" fontId="2" fillId="3" borderId="2" xfId="4" applyFont="1" applyBorder="1"/>
    <xf numFmtId="0" fontId="2" fillId="3" borderId="4" xfId="4" applyFont="1" applyBorder="1"/>
    <xf numFmtId="0" fontId="1" fillId="3" borderId="4" xfId="4" applyBorder="1"/>
    <xf numFmtId="0" fontId="1" fillId="3" borderId="6" xfId="4" applyBorder="1"/>
    <xf numFmtId="0" fontId="2" fillId="3" borderId="12" xfId="4" applyFont="1" applyBorder="1"/>
    <xf numFmtId="0" fontId="2" fillId="3" borderId="1" xfId="4" applyFont="1" applyBorder="1"/>
    <xf numFmtId="0" fontId="1" fillId="3" borderId="7" xfId="4" applyBorder="1"/>
    <xf numFmtId="0" fontId="1" fillId="3" borderId="3" xfId="4" applyBorder="1"/>
    <xf numFmtId="0" fontId="1" fillId="3" borderId="5" xfId="4" applyBorder="1"/>
    <xf numFmtId="0" fontId="1" fillId="3" borderId="9" xfId="4" applyBorder="1"/>
    <xf numFmtId="0" fontId="1" fillId="3" borderId="14" xfId="4" applyBorder="1"/>
    <xf numFmtId="0" fontId="1" fillId="3" borderId="32" xfId="4" applyBorder="1"/>
    <xf numFmtId="0" fontId="1" fillId="3" borderId="33" xfId="4" applyBorder="1"/>
    <xf numFmtId="0" fontId="1" fillId="3" borderId="24" xfId="4" applyBorder="1"/>
    <xf numFmtId="0" fontId="1" fillId="3" borderId="13" xfId="4" applyBorder="1"/>
    <xf numFmtId="0" fontId="1" fillId="3" borderId="22" xfId="4" applyBorder="1"/>
    <xf numFmtId="0" fontId="1" fillId="3" borderId="34" xfId="4" applyBorder="1"/>
    <xf numFmtId="0" fontId="1" fillId="3" borderId="0" xfId="4" applyBorder="1"/>
    <xf numFmtId="0" fontId="1" fillId="3" borderId="1" xfId="4" applyBorder="1"/>
    <xf numFmtId="0" fontId="1" fillId="3" borderId="12" xfId="4" applyBorder="1"/>
    <xf numFmtId="0" fontId="62" fillId="3" borderId="11" xfId="4" applyFont="1" applyBorder="1"/>
    <xf numFmtId="0" fontId="62" fillId="3" borderId="10" xfId="4" applyFont="1" applyBorder="1"/>
    <xf numFmtId="0" fontId="1" fillId="3" borderId="10" xfId="4" applyBorder="1"/>
    <xf numFmtId="3" fontId="41" fillId="4" borderId="10" xfId="5" applyBorder="1">
      <alignment horizontal="right" vertical="center"/>
    </xf>
    <xf numFmtId="3" fontId="41" fillId="4" borderId="13" xfId="5" applyBorder="1">
      <alignment horizontal="right" vertical="center"/>
    </xf>
    <xf numFmtId="3" fontId="41" fillId="4" borderId="11" xfId="5" applyBorder="1" applyProtection="1">
      <alignment horizontal="right" vertical="center"/>
      <protection locked="0"/>
    </xf>
    <xf numFmtId="3" fontId="41" fillId="4" borderId="8" xfId="5" applyBorder="1" applyProtection="1">
      <alignment horizontal="right" vertical="center"/>
      <protection locked="0"/>
    </xf>
    <xf numFmtId="3" fontId="41" fillId="4" borderId="3" xfId="5" applyBorder="1">
      <alignment horizontal="right" vertical="center"/>
    </xf>
    <xf numFmtId="3" fontId="41" fillId="4" borderId="13" xfId="5" applyBorder="1" applyProtection="1">
      <alignment horizontal="right" vertical="center"/>
      <protection locked="0"/>
    </xf>
    <xf numFmtId="3" fontId="41" fillId="4" borderId="3" xfId="5" applyBorder="1" applyProtection="1">
      <alignment horizontal="right" vertical="center"/>
      <protection locked="0"/>
    </xf>
    <xf numFmtId="3" fontId="41" fillId="4" borderId="5" xfId="5" applyBorder="1" applyProtection="1">
      <alignment horizontal="right" vertical="center"/>
      <protection locked="0"/>
    </xf>
    <xf numFmtId="3" fontId="41" fillId="4" borderId="8" xfId="5" applyBorder="1">
      <alignment horizontal="right" vertical="center"/>
    </xf>
    <xf numFmtId="3" fontId="41" fillId="4" borderId="11" xfId="5" applyBorder="1">
      <alignment horizontal="right" vertical="center"/>
    </xf>
    <xf numFmtId="3" fontId="41" fillId="4" borderId="5" xfId="5" applyBorder="1">
      <alignment horizontal="right" vertical="center"/>
    </xf>
    <xf numFmtId="3" fontId="41" fillId="4" borderId="0" xfId="5">
      <alignment horizontal="right" vertical="center"/>
    </xf>
    <xf numFmtId="3" fontId="41" fillId="4" borderId="2" xfId="5" applyBorder="1">
      <alignment horizontal="right" vertical="center"/>
    </xf>
    <xf numFmtId="3" fontId="41" fillId="4" borderId="4" xfId="5" applyBorder="1">
      <alignment horizontal="right" vertical="center"/>
    </xf>
    <xf numFmtId="3" fontId="41" fillId="4" borderId="6" xfId="5" applyBorder="1">
      <alignment horizontal="right" vertical="center"/>
    </xf>
    <xf numFmtId="3" fontId="41" fillId="4" borderId="10" xfId="5" applyBorder="1" applyProtection="1">
      <alignment horizontal="right" vertical="center"/>
      <protection locked="0"/>
    </xf>
    <xf numFmtId="3" fontId="41" fillId="4" borderId="35" xfId="5" applyBorder="1">
      <alignment horizontal="right" vertical="center"/>
    </xf>
    <xf numFmtId="3" fontId="41" fillId="4" borderId="36" xfId="5" applyBorder="1">
      <alignment horizontal="right" vertical="center"/>
    </xf>
    <xf numFmtId="3" fontId="41" fillId="4" borderId="37" xfId="5" applyBorder="1">
      <alignment horizontal="right" vertical="center"/>
    </xf>
    <xf numFmtId="3" fontId="41" fillId="4" borderId="38" xfId="5" applyBorder="1">
      <alignment horizontal="right" vertical="center"/>
    </xf>
    <xf numFmtId="3" fontId="41" fillId="4" borderId="32" xfId="5" applyBorder="1">
      <alignment horizontal="right" vertical="center"/>
    </xf>
    <xf numFmtId="3" fontId="41" fillId="4" borderId="37" xfId="5" applyBorder="1" applyProtection="1">
      <alignment horizontal="right" vertical="center"/>
      <protection locked="0"/>
    </xf>
    <xf numFmtId="3" fontId="41" fillId="4" borderId="39" xfId="5" applyBorder="1" applyProtection="1">
      <alignment horizontal="right" vertical="center"/>
      <protection locked="0"/>
    </xf>
    <xf numFmtId="3" fontId="41" fillId="4" borderId="40" xfId="5" applyBorder="1" applyProtection="1">
      <alignment horizontal="right" vertical="center"/>
      <protection locked="0"/>
    </xf>
    <xf numFmtId="3" fontId="41" fillId="4" borderId="7" xfId="5" applyBorder="1" applyProtection="1">
      <alignment horizontal="right" vertical="center"/>
      <protection locked="0"/>
    </xf>
    <xf numFmtId="3" fontId="41" fillId="4" borderId="21" xfId="5" applyBorder="1" applyProtection="1">
      <alignment horizontal="right" vertical="center"/>
      <protection locked="0"/>
    </xf>
    <xf numFmtId="3" fontId="41" fillId="4" borderId="22" xfId="5" applyBorder="1" applyProtection="1">
      <alignment horizontal="right" vertical="center"/>
      <protection locked="0"/>
    </xf>
    <xf numFmtId="3" fontId="41" fillId="4" borderId="41" xfId="5" applyBorder="1" applyProtection="1">
      <alignment horizontal="right" vertical="center"/>
      <protection locked="0"/>
    </xf>
    <xf numFmtId="3" fontId="41" fillId="4" borderId="42" xfId="5" applyBorder="1" applyProtection="1">
      <alignment horizontal="right" vertical="center"/>
      <protection locked="0"/>
    </xf>
    <xf numFmtId="3" fontId="41" fillId="4" borderId="15" xfId="5" applyBorder="1" applyProtection="1">
      <alignment horizontal="right" vertical="center"/>
      <protection locked="0"/>
    </xf>
    <xf numFmtId="3" fontId="41" fillId="4" borderId="16" xfId="5" applyBorder="1">
      <alignment horizontal="right" vertical="center"/>
    </xf>
    <xf numFmtId="3" fontId="41" fillId="4" borderId="16" xfId="5" applyBorder="1" applyProtection="1">
      <alignment horizontal="right" vertical="center"/>
      <protection locked="0"/>
    </xf>
    <xf numFmtId="3" fontId="41" fillId="4" borderId="9" xfId="5" applyBorder="1" applyProtection="1">
      <alignment horizontal="right" vertical="center"/>
      <protection locked="0"/>
    </xf>
    <xf numFmtId="3" fontId="41" fillId="4" borderId="2" xfId="5" applyBorder="1">
      <alignment horizontal="right" vertical="center"/>
    </xf>
    <xf numFmtId="3" fontId="41" fillId="4" borderId="2" xfId="5" applyBorder="1" applyProtection="1">
      <alignment horizontal="right" vertical="center"/>
      <protection locked="0"/>
    </xf>
    <xf numFmtId="3" fontId="41" fillId="4" borderId="6" xfId="5" applyBorder="1" applyProtection="1">
      <alignment horizontal="right" vertical="center"/>
      <protection locked="0"/>
    </xf>
    <xf numFmtId="3" fontId="41" fillId="4" borderId="24" xfId="5" applyBorder="1">
      <alignment horizontal="right" vertical="center"/>
    </xf>
    <xf numFmtId="3" fontId="41" fillId="4" borderId="24" xfId="5" applyBorder="1" applyProtection="1">
      <alignment horizontal="right" vertical="center"/>
      <protection locked="0"/>
    </xf>
    <xf numFmtId="3" fontId="41" fillId="4" borderId="14" xfId="5" applyBorder="1" applyProtection="1">
      <alignment horizontal="right" vertical="center"/>
      <protection locked="0"/>
    </xf>
    <xf numFmtId="3" fontId="41" fillId="4" borderId="6" xfId="5" applyBorder="1">
      <alignment horizontal="right" vertical="center"/>
    </xf>
    <xf numFmtId="1" fontId="11" fillId="5" borderId="12" xfId="6" applyNumberFormat="1" applyFont="1" applyBorder="1"/>
    <xf numFmtId="0" fontId="5" fillId="5" borderId="12" xfId="6" applyFont="1" applyBorder="1"/>
    <xf numFmtId="14" fontId="37" fillId="5" borderId="12" xfId="6" applyNumberFormat="1" applyFont="1" applyBorder="1"/>
    <xf numFmtId="20" fontId="47" fillId="5" borderId="12" xfId="6" applyNumberFormat="1" applyFont="1" applyBorder="1" applyAlignment="1">
      <alignment horizontal="left"/>
    </xf>
    <xf numFmtId="1" fontId="37" fillId="5" borderId="13" xfId="6" applyNumberFormat="1" applyFont="1" applyBorder="1" applyAlignment="1">
      <alignment horizontal="right"/>
    </xf>
    <xf numFmtId="0" fontId="5" fillId="5" borderId="9" xfId="6" applyFont="1" applyBorder="1"/>
    <xf numFmtId="0" fontId="37" fillId="5" borderId="1" xfId="6" applyFont="1" applyBorder="1"/>
    <xf numFmtId="0" fontId="1" fillId="5" borderId="1" xfId="6" applyFont="1" applyBorder="1" applyAlignment="1">
      <alignment horizontal="center"/>
    </xf>
    <xf numFmtId="0" fontId="3" fillId="5" borderId="1" xfId="6" applyFont="1" applyBorder="1" applyAlignment="1">
      <alignment horizontal="center"/>
    </xf>
    <xf numFmtId="1" fontId="37" fillId="5" borderId="1" xfId="6" applyNumberFormat="1" applyFont="1" applyBorder="1" applyAlignment="1">
      <alignment horizontal="right"/>
    </xf>
    <xf numFmtId="1" fontId="55" fillId="5" borderId="1" xfId="6" applyNumberFormat="1" applyFont="1" applyBorder="1" applyAlignment="1">
      <alignment horizontal="right"/>
    </xf>
    <xf numFmtId="1" fontId="47" fillId="5" borderId="14" xfId="6" applyNumberFormat="1" applyFont="1" applyBorder="1" applyAlignment="1">
      <alignment horizontal="right"/>
    </xf>
    <xf numFmtId="0" fontId="7" fillId="5" borderId="24" xfId="6" applyFont="1" applyBorder="1" applyAlignment="1">
      <alignment horizontal="left"/>
    </xf>
    <xf numFmtId="0" fontId="11" fillId="5" borderId="12" xfId="6" applyFont="1" applyBorder="1"/>
    <xf numFmtId="0" fontId="1" fillId="5" borderId="12" xfId="6" applyFont="1" applyBorder="1"/>
    <xf numFmtId="0" fontId="1" fillId="5" borderId="1" xfId="6" applyFont="1" applyBorder="1"/>
    <xf numFmtId="0" fontId="43" fillId="5" borderId="1" xfId="6" applyFont="1" applyBorder="1" applyAlignment="1">
      <alignment horizontal="right"/>
    </xf>
    <xf numFmtId="0" fontId="43" fillId="5" borderId="1" xfId="6" applyFont="1" applyBorder="1" applyAlignment="1">
      <alignment horizontal="center"/>
    </xf>
    <xf numFmtId="0" fontId="11" fillId="5" borderId="24" xfId="6" applyFont="1" applyBorder="1" applyAlignment="1">
      <alignment horizontal="left"/>
    </xf>
    <xf numFmtId="0" fontId="63" fillId="5" borderId="12" xfId="6" applyFont="1" applyBorder="1" applyAlignment="1">
      <alignment horizontal="centerContinuous"/>
    </xf>
    <xf numFmtId="0" fontId="11" fillId="5" borderId="12" xfId="6" applyFont="1" applyBorder="1" applyAlignment="1">
      <alignment horizontal="centerContinuous"/>
    </xf>
    <xf numFmtId="0" fontId="20" fillId="5" borderId="12" xfId="6" applyFont="1" applyBorder="1" applyAlignment="1">
      <alignment horizontal="centerContinuous"/>
    </xf>
    <xf numFmtId="0" fontId="20" fillId="5" borderId="12" xfId="6" applyFont="1" applyBorder="1"/>
    <xf numFmtId="0" fontId="67" fillId="5" borderId="1" xfId="6" applyFont="1" applyBorder="1" applyAlignment="1">
      <alignment horizontal="centerContinuous"/>
    </xf>
    <xf numFmtId="0" fontId="43" fillId="5" borderId="1" xfId="6" applyFont="1" applyBorder="1" applyAlignment="1">
      <alignment horizontal="centerContinuous"/>
    </xf>
    <xf numFmtId="0" fontId="37" fillId="5" borderId="12" xfId="6" applyFont="1" applyBorder="1"/>
    <xf numFmtId="0" fontId="22" fillId="5" borderId="1" xfId="6" applyFont="1" applyBorder="1" applyAlignment="1">
      <alignment horizontal="center"/>
    </xf>
    <xf numFmtId="0" fontId="47" fillId="5" borderId="1" xfId="6" applyFont="1" applyBorder="1"/>
    <xf numFmtId="0" fontId="43" fillId="5" borderId="1" xfId="6" applyFont="1" applyBorder="1"/>
    <xf numFmtId="0" fontId="7" fillId="5" borderId="12" xfId="6" applyFont="1" applyBorder="1" applyAlignment="1">
      <alignment horizontal="left"/>
    </xf>
    <xf numFmtId="0" fontId="5" fillId="5" borderId="1" xfId="6" applyFont="1" applyBorder="1"/>
    <xf numFmtId="167" fontId="21" fillId="5" borderId="12" xfId="6" applyNumberFormat="1" applyFont="1" applyBorder="1" applyAlignment="1">
      <alignment horizontal="right"/>
    </xf>
    <xf numFmtId="0" fontId="20" fillId="5" borderId="1" xfId="6" applyFont="1" applyBorder="1"/>
    <xf numFmtId="3" fontId="41" fillId="2" borderId="8" xfId="7" applyBorder="1">
      <alignment horizontal="right" vertical="center"/>
      <protection locked="0"/>
    </xf>
    <xf numFmtId="3" fontId="41" fillId="2" borderId="7" xfId="7" applyBorder="1">
      <alignment horizontal="right" vertical="center"/>
      <protection locked="0"/>
    </xf>
    <xf numFmtId="3" fontId="41" fillId="2" borderId="4" xfId="7" applyBorder="1">
      <alignment horizontal="right" vertical="center"/>
      <protection locked="0"/>
    </xf>
    <xf numFmtId="3" fontId="41" fillId="2" borderId="6" xfId="7" applyBorder="1">
      <alignment horizontal="right" vertical="center"/>
      <protection locked="0"/>
    </xf>
    <xf numFmtId="3" fontId="41" fillId="2" borderId="5" xfId="7" applyBorder="1">
      <alignment horizontal="right" vertical="center"/>
      <protection locked="0"/>
    </xf>
    <xf numFmtId="3" fontId="41" fillId="2" borderId="10" xfId="7" applyBorder="1">
      <alignment horizontal="right" vertical="center"/>
      <protection locked="0"/>
    </xf>
    <xf numFmtId="3" fontId="41" fillId="2" borderId="24" xfId="7" applyBorder="1">
      <alignment horizontal="right" vertical="center"/>
      <protection locked="0"/>
    </xf>
    <xf numFmtId="3" fontId="41" fillId="2" borderId="12" xfId="7" applyBorder="1">
      <alignment horizontal="right" vertical="center"/>
      <protection locked="0"/>
    </xf>
    <xf numFmtId="3" fontId="41" fillId="2" borderId="13" xfId="7" applyBorder="1">
      <alignment horizontal="right" vertical="center"/>
      <protection locked="0"/>
    </xf>
    <xf numFmtId="3" fontId="41" fillId="2" borderId="0" xfId="7" applyBorder="1">
      <alignment horizontal="right" vertical="center"/>
      <protection locked="0"/>
    </xf>
    <xf numFmtId="3" fontId="41" fillId="2" borderId="3" xfId="7" applyBorder="1">
      <alignment horizontal="right" vertical="center"/>
      <protection locked="0"/>
    </xf>
    <xf numFmtId="3" fontId="41" fillId="2" borderId="9" xfId="7" applyBorder="1">
      <alignment horizontal="right" vertical="center"/>
      <protection locked="0"/>
    </xf>
    <xf numFmtId="3" fontId="41" fillId="2" borderId="1" xfId="7" applyBorder="1">
      <alignment horizontal="right" vertical="center"/>
      <protection locked="0"/>
    </xf>
    <xf numFmtId="3" fontId="41" fillId="2" borderId="14" xfId="7" applyBorder="1">
      <alignment horizontal="right" vertical="center"/>
      <protection locked="0"/>
    </xf>
    <xf numFmtId="3" fontId="41" fillId="2" borderId="11" xfId="7" applyBorder="1">
      <alignment horizontal="right" vertical="center"/>
      <protection locked="0"/>
    </xf>
    <xf numFmtId="3" fontId="41" fillId="2" borderId="2" xfId="7" applyBorder="1">
      <alignment horizontal="right" vertical="center"/>
      <protection locked="0"/>
    </xf>
    <xf numFmtId="3" fontId="41" fillId="2" borderId="40" xfId="7" applyBorder="1">
      <alignment horizontal="right" vertical="center"/>
      <protection locked="0"/>
    </xf>
    <xf numFmtId="3" fontId="41" fillId="2" borderId="19" xfId="7" applyBorder="1">
      <alignment horizontal="right" vertical="center"/>
      <protection locked="0"/>
    </xf>
    <xf numFmtId="3" fontId="41" fillId="2" borderId="16" xfId="7" applyBorder="1">
      <alignment horizontal="right" vertical="center"/>
      <protection locked="0"/>
    </xf>
    <xf numFmtId="3" fontId="41" fillId="2" borderId="0" xfId="7">
      <alignment horizontal="right" vertical="center"/>
      <protection locked="0"/>
    </xf>
    <xf numFmtId="166" fontId="44" fillId="13" borderId="11" xfId="11" applyNumberFormat="1" applyFont="1" applyFill="1" applyBorder="1" applyAlignment="1">
      <alignment horizontal="center"/>
    </xf>
    <xf numFmtId="166" fontId="44" fillId="13" borderId="8" xfId="11" applyNumberFormat="1" applyFont="1" applyFill="1" applyBorder="1" applyAlignment="1">
      <alignment horizontal="center"/>
    </xf>
    <xf numFmtId="166" fontId="44" fillId="13" borderId="10" xfId="11" applyNumberFormat="1" applyFont="1" applyFill="1" applyBorder="1" applyAlignment="1">
      <alignment horizontal="center"/>
    </xf>
    <xf numFmtId="9" fontId="9" fillId="0" borderId="8" xfId="12" applyNumberFormat="1" applyFont="1" applyBorder="1"/>
    <xf numFmtId="9" fontId="9" fillId="0" borderId="10" xfId="12" applyNumberFormat="1" applyFont="1" applyBorder="1"/>
    <xf numFmtId="3" fontId="41" fillId="24" borderId="4" xfId="5" applyFill="1" applyBorder="1" applyProtection="1">
      <alignment horizontal="right" vertical="center"/>
      <protection locked="0"/>
    </xf>
    <xf numFmtId="3" fontId="41" fillId="24" borderId="6" xfId="5" applyFill="1" applyBorder="1" applyProtection="1">
      <alignment horizontal="right" vertical="center"/>
      <protection locked="0"/>
    </xf>
    <xf numFmtId="0" fontId="1" fillId="24" borderId="24" xfId="0" applyFont="1" applyFill="1" applyBorder="1" applyAlignment="1"/>
    <xf numFmtId="3" fontId="41" fillId="24" borderId="12" xfId="5" applyFill="1" applyBorder="1" applyProtection="1">
      <alignment horizontal="right" vertical="center"/>
      <protection locked="0"/>
    </xf>
    <xf numFmtId="3" fontId="41" fillId="24" borderId="13" xfId="5" applyFill="1" applyBorder="1" applyProtection="1">
      <alignment horizontal="right" vertical="center"/>
      <protection locked="0"/>
    </xf>
    <xf numFmtId="0" fontId="4" fillId="24" borderId="7" xfId="0" applyFont="1" applyFill="1" applyBorder="1" applyAlignment="1">
      <alignment horizontal="left" indent="1"/>
    </xf>
    <xf numFmtId="3" fontId="41" fillId="24" borderId="0" xfId="7" applyFill="1" applyBorder="1">
      <alignment horizontal="right" vertical="center"/>
      <protection locked="0"/>
    </xf>
    <xf numFmtId="3" fontId="41" fillId="24" borderId="3" xfId="7" applyFill="1" applyBorder="1">
      <alignment horizontal="right" vertical="center"/>
      <protection locked="0"/>
    </xf>
    <xf numFmtId="0" fontId="4" fillId="24" borderId="9" xfId="0" applyFont="1" applyFill="1" applyBorder="1" applyAlignment="1">
      <alignment horizontal="left" indent="1"/>
    </xf>
    <xf numFmtId="3" fontId="41" fillId="2" borderId="11" xfId="3" applyBorder="1">
      <alignment horizontal="right" vertical="center"/>
      <protection locked="0"/>
    </xf>
    <xf numFmtId="3" fontId="41" fillId="2" borderId="8" xfId="3" applyBorder="1">
      <alignment horizontal="right" vertical="center"/>
      <protection locked="0"/>
    </xf>
    <xf numFmtId="3" fontId="41" fillId="2" borderId="10" xfId="3" applyBorder="1">
      <alignment horizontal="right" vertical="center"/>
      <protection locked="0"/>
    </xf>
    <xf numFmtId="3" fontId="41" fillId="15" borderId="11" xfId="3" applyFill="1" applyBorder="1">
      <alignment horizontal="right" vertical="center"/>
      <protection locked="0"/>
    </xf>
    <xf numFmtId="3" fontId="41" fillId="15" borderId="8" xfId="3" applyFill="1" applyBorder="1">
      <alignment horizontal="right" vertical="center"/>
      <protection locked="0"/>
    </xf>
    <xf numFmtId="3" fontId="41" fillId="15" borderId="10" xfId="3" applyFill="1" applyBorder="1">
      <alignment horizontal="right" vertical="center"/>
      <protection locked="0"/>
    </xf>
    <xf numFmtId="0" fontId="41" fillId="3" borderId="11" xfId="4" applyFont="1" applyBorder="1"/>
    <xf numFmtId="0" fontId="41" fillId="3" borderId="8" xfId="4" applyFont="1" applyBorder="1"/>
    <xf numFmtId="0" fontId="41" fillId="3" borderId="10" xfId="4" applyFont="1" applyBorder="1"/>
    <xf numFmtId="3" fontId="41" fillId="4" borderId="11" xfId="3" applyFill="1" applyBorder="1">
      <alignment horizontal="right" vertical="center"/>
      <protection locked="0"/>
    </xf>
    <xf numFmtId="3" fontId="41" fillId="4" borderId="8" xfId="3" applyFill="1" applyBorder="1">
      <alignment horizontal="right" vertical="center"/>
      <protection locked="0"/>
    </xf>
    <xf numFmtId="3" fontId="41" fillId="4" borderId="10" xfId="3" applyFill="1" applyBorder="1">
      <alignment horizontal="right" vertical="center"/>
      <protection locked="0"/>
    </xf>
    <xf numFmtId="3" fontId="41" fillId="14" borderId="11" xfId="3" applyFill="1" applyBorder="1">
      <alignment horizontal="right" vertical="center"/>
      <protection locked="0"/>
    </xf>
    <xf numFmtId="3" fontId="41" fillId="14" borderId="8" xfId="3" applyFill="1" applyBorder="1">
      <alignment horizontal="right" vertical="center"/>
      <protection locked="0"/>
    </xf>
    <xf numFmtId="3" fontId="41" fillId="14" borderId="10" xfId="3" applyFill="1" applyBorder="1">
      <alignment horizontal="right" vertical="center"/>
      <protection locked="0"/>
    </xf>
    <xf numFmtId="3" fontId="41" fillId="2" borderId="24" xfId="7" applyBorder="1">
      <alignment horizontal="right" vertical="center"/>
      <protection locked="0"/>
    </xf>
    <xf numFmtId="3" fontId="41" fillId="2" borderId="12" xfId="7" applyBorder="1">
      <alignment horizontal="right" vertical="center"/>
      <protection locked="0"/>
    </xf>
    <xf numFmtId="3" fontId="41" fillId="2" borderId="13" xfId="7" applyBorder="1">
      <alignment horizontal="right" vertical="center"/>
      <protection locked="0"/>
    </xf>
    <xf numFmtId="3" fontId="41" fillId="2" borderId="7" xfId="7" applyBorder="1">
      <alignment horizontal="right" vertical="center"/>
      <protection locked="0"/>
    </xf>
    <xf numFmtId="3" fontId="41" fillId="2" borderId="0" xfId="7" applyBorder="1">
      <alignment horizontal="right" vertical="center"/>
      <protection locked="0"/>
    </xf>
    <xf numFmtId="3" fontId="41" fillId="2" borderId="3" xfId="7" applyBorder="1">
      <alignment horizontal="right" vertical="center"/>
      <protection locked="0"/>
    </xf>
    <xf numFmtId="3" fontId="41" fillId="2" borderId="9" xfId="7" applyBorder="1">
      <alignment horizontal="right" vertical="center"/>
      <protection locked="0"/>
    </xf>
    <xf numFmtId="3" fontId="41" fillId="2" borderId="1" xfId="7" applyBorder="1">
      <alignment horizontal="right" vertical="center"/>
      <protection locked="0"/>
    </xf>
    <xf numFmtId="3" fontId="41" fillId="2" borderId="14" xfId="7" applyBorder="1">
      <alignment horizontal="right" vertical="center"/>
      <protection locked="0"/>
    </xf>
    <xf numFmtId="0" fontId="68" fillId="6" borderId="24" xfId="8" applyNumberFormat="1" applyFont="1" applyBorder="1" applyAlignment="1"/>
    <xf numFmtId="0" fontId="68" fillId="6" borderId="7" xfId="8" applyNumberFormat="1" applyFont="1" applyBorder="1" applyAlignment="1"/>
    <xf numFmtId="0" fontId="68" fillId="6" borderId="2" xfId="8" applyNumberFormat="1" applyFont="1" applyBorder="1" applyAlignment="1"/>
    <xf numFmtId="3" fontId="41" fillId="6" borderId="11" xfId="8" applyNumberFormat="1" applyFont="1" applyBorder="1" applyAlignment="1">
      <alignment horizontal="center" vertical="center"/>
    </xf>
    <xf numFmtId="1" fontId="41" fillId="6" borderId="8" xfId="8" applyNumberFormat="1" applyFont="1" applyBorder="1" applyAlignment="1">
      <alignment horizontal="center" vertical="center"/>
    </xf>
    <xf numFmtId="0" fontId="1" fillId="6" borderId="11" xfId="8" applyNumberFormat="1" applyFont="1" applyBorder="1" applyAlignment="1"/>
    <xf numFmtId="0" fontId="68" fillId="6" borderId="9" xfId="8" applyNumberFormat="1" applyFont="1" applyBorder="1" applyAlignment="1"/>
    <xf numFmtId="0" fontId="37" fillId="6" borderId="7" xfId="8" applyNumberFormat="1" applyFont="1" applyBorder="1" applyAlignment="1"/>
    <xf numFmtId="0" fontId="37" fillId="6" borderId="9" xfId="8" applyNumberFormat="1" applyFont="1" applyBorder="1" applyAlignment="1"/>
    <xf numFmtId="0" fontId="43" fillId="6" borderId="43" xfId="8" applyNumberFormat="1" applyFont="1" applyBorder="1" applyAlignment="1">
      <alignment horizontal="centerContinuous"/>
    </xf>
    <xf numFmtId="0" fontId="43" fillId="6" borderId="44" xfId="8" applyNumberFormat="1" applyFont="1" applyBorder="1" applyAlignment="1">
      <alignment horizontal="centerContinuous"/>
    </xf>
    <xf numFmtId="0" fontId="43" fillId="6" borderId="27" xfId="8" applyNumberFormat="1" applyFont="1" applyBorder="1" applyAlignment="1">
      <alignment horizontal="centerContinuous"/>
    </xf>
    <xf numFmtId="0" fontId="45" fillId="6" borderId="34" xfId="8" applyNumberFormat="1" applyFont="1" applyBorder="1" applyAlignment="1">
      <alignment horizontal="centerContinuous" vertical="center" wrapText="1"/>
    </xf>
    <xf numFmtId="0" fontId="41" fillId="6" borderId="45" xfId="8" applyNumberFormat="1" applyFont="1" applyBorder="1" applyAlignment="1">
      <alignment horizontal="centerContinuous" vertical="center"/>
    </xf>
    <xf numFmtId="0" fontId="43" fillId="6" borderId="34" xfId="8" applyNumberFormat="1" applyFont="1" applyBorder="1" applyAlignment="1">
      <alignment horizontal="centerContinuous"/>
    </xf>
    <xf numFmtId="0" fontId="23" fillId="6" borderId="45" xfId="8" applyNumberFormat="1" applyFont="1" applyBorder="1" applyAlignment="1">
      <alignment horizontal="centerContinuous" vertical="center" wrapText="1"/>
    </xf>
    <xf numFmtId="0" fontId="62" fillId="6" borderId="24" xfId="8" applyNumberFormat="1" applyFont="1" applyBorder="1" applyAlignment="1"/>
    <xf numFmtId="0" fontId="62" fillId="6" borderId="11" xfId="8" applyNumberFormat="1" applyFont="1" applyBorder="1" applyAlignment="1">
      <alignment horizontal="left"/>
    </xf>
    <xf numFmtId="0" fontId="62" fillId="6" borderId="7" xfId="8" applyNumberFormat="1" applyFont="1" applyBorder="1" applyAlignment="1"/>
    <xf numFmtId="0" fontId="69" fillId="6" borderId="8" xfId="8" applyNumberFormat="1" applyFont="1" applyBorder="1" applyAlignment="1">
      <alignment horizontal="left" indent="1"/>
    </xf>
    <xf numFmtId="0" fontId="62" fillId="6" borderId="9" xfId="8" applyNumberFormat="1" applyFont="1" applyBorder="1" applyAlignment="1"/>
    <xf numFmtId="0" fontId="62" fillId="6" borderId="7" xfId="8" applyNumberFormat="1" applyFont="1" applyBorder="1" applyAlignment="1">
      <alignment vertical="center" wrapText="1"/>
    </xf>
    <xf numFmtId="0" fontId="70" fillId="6" borderId="7" xfId="8" applyNumberFormat="1" applyFont="1" applyBorder="1" applyAlignment="1">
      <alignment horizontal="left" indent="1"/>
    </xf>
    <xf numFmtId="0" fontId="69" fillId="6" borderId="10" xfId="8" applyNumberFormat="1" applyFont="1" applyBorder="1" applyAlignment="1">
      <alignment horizontal="left" indent="1"/>
    </xf>
    <xf numFmtId="0" fontId="62" fillId="6" borderId="10" xfId="8" applyNumberFormat="1" applyFont="1" applyBorder="1" applyAlignment="1">
      <alignment horizontal="left"/>
    </xf>
    <xf numFmtId="0" fontId="71" fillId="6" borderId="7" xfId="8" applyNumberFormat="1" applyFont="1" applyBorder="1" applyAlignment="1">
      <alignment horizontal="left" indent="2"/>
    </xf>
    <xf numFmtId="0" fontId="62" fillId="6" borderId="5" xfId="8" applyNumberFormat="1" applyFont="1" applyBorder="1" applyAlignment="1">
      <alignment horizontal="left"/>
    </xf>
    <xf numFmtId="0" fontId="62" fillId="6" borderId="8" xfId="8" applyNumberFormat="1" applyFont="1" applyBorder="1" applyAlignment="1">
      <alignment horizontal="left"/>
    </xf>
    <xf numFmtId="0" fontId="62" fillId="6" borderId="8" xfId="8" applyNumberFormat="1" applyFont="1" applyBorder="1" applyAlignment="1">
      <alignment horizontal="left" indent="1"/>
    </xf>
    <xf numFmtId="0" fontId="69" fillId="6" borderId="8" xfId="8" applyNumberFormat="1" applyFont="1" applyBorder="1" applyAlignment="1">
      <alignment horizontal="left" indent="2"/>
    </xf>
    <xf numFmtId="0" fontId="69" fillId="6" borderId="10" xfId="8" applyNumberFormat="1" applyFont="1" applyBorder="1" applyAlignment="1">
      <alignment horizontal="left" indent="2"/>
    </xf>
    <xf numFmtId="0" fontId="62" fillId="6" borderId="10" xfId="8" applyNumberFormat="1" applyFont="1" applyBorder="1" applyAlignment="1">
      <alignment horizontal="left" indent="1"/>
    </xf>
    <xf numFmtId="0" fontId="72" fillId="6" borderId="7" xfId="8" applyNumberFormat="1" applyFont="1" applyBorder="1" applyAlignment="1">
      <alignment horizontal="left" indent="1"/>
    </xf>
    <xf numFmtId="0" fontId="62" fillId="6" borderId="3" xfId="8" applyNumberFormat="1" applyFont="1" applyBorder="1" applyAlignment="1"/>
    <xf numFmtId="0" fontId="62" fillId="6" borderId="24" xfId="8" applyNumberFormat="1" applyFont="1" applyBorder="1" applyAlignment="1">
      <alignment vertical="center"/>
    </xf>
    <xf numFmtId="0" fontId="41" fillId="6" borderId="13" xfId="8" applyNumberFormat="1" applyFont="1" applyBorder="1" applyAlignment="1"/>
    <xf numFmtId="0" fontId="70" fillId="6" borderId="3" xfId="8" applyNumberFormat="1" applyFont="1" applyBorder="1" applyAlignment="1">
      <alignment horizontal="left" indent="1"/>
    </xf>
    <xf numFmtId="0" fontId="72" fillId="6" borderId="7" xfId="8" applyNumberFormat="1" applyFont="1" applyBorder="1" applyAlignment="1">
      <alignment horizontal="left" indent="2"/>
    </xf>
    <xf numFmtId="0" fontId="72" fillId="6" borderId="3" xfId="8" applyNumberFormat="1" applyFont="1" applyBorder="1" applyAlignment="1">
      <alignment horizontal="left" indent="2"/>
    </xf>
    <xf numFmtId="0" fontId="72" fillId="6" borderId="3" xfId="8" applyNumberFormat="1" applyFont="1" applyBorder="1" applyAlignment="1">
      <alignment horizontal="left" wrapText="1" indent="2"/>
    </xf>
    <xf numFmtId="0" fontId="62" fillId="6" borderId="5" xfId="8" applyNumberFormat="1" applyFont="1" applyBorder="1" applyAlignment="1"/>
    <xf numFmtId="0" fontId="70" fillId="6" borderId="14" xfId="8" applyNumberFormat="1" applyFont="1" applyBorder="1" applyAlignment="1">
      <alignment horizontal="left" indent="1"/>
    </xf>
    <xf numFmtId="0" fontId="62" fillId="6" borderId="8" xfId="8" applyNumberFormat="1" applyFont="1" applyBorder="1" applyAlignment="1"/>
    <xf numFmtId="0" fontId="62" fillId="6" borderId="13" xfId="8" applyNumberFormat="1" applyFont="1" applyBorder="1" applyAlignment="1"/>
    <xf numFmtId="0" fontId="62" fillId="6" borderId="8" xfId="8" applyNumberFormat="1" applyFont="1" applyBorder="1" applyAlignment="1">
      <alignment wrapText="1"/>
    </xf>
    <xf numFmtId="0" fontId="62" fillId="6" borderId="3" xfId="8" applyNumberFormat="1" applyFont="1" applyBorder="1" applyAlignment="1">
      <alignment wrapText="1"/>
    </xf>
    <xf numFmtId="0" fontId="62" fillId="6" borderId="10" xfId="8" applyNumberFormat="1" applyFont="1" applyBorder="1" applyAlignment="1"/>
    <xf numFmtId="0" fontId="62" fillId="6" borderId="14" xfId="8" applyNumberFormat="1" applyFont="1" applyBorder="1" applyAlignment="1"/>
    <xf numFmtId="0" fontId="12" fillId="6" borderId="11" xfId="8" applyNumberFormat="1" applyFont="1" applyBorder="1" applyAlignment="1">
      <alignment horizontal="centerContinuous" vertical="center" wrapText="1"/>
    </xf>
    <xf numFmtId="0" fontId="12" fillId="6" borderId="11" xfId="8" applyNumberFormat="1" applyFont="1" applyBorder="1" applyAlignment="1">
      <alignment horizontal="center" vertical="center" wrapText="1"/>
    </xf>
    <xf numFmtId="14" fontId="12" fillId="6" borderId="10" xfId="8" applyNumberFormat="1" applyFont="1" applyBorder="1" applyAlignment="1">
      <alignment horizontal="centerContinuous" vertical="center" wrapText="1"/>
    </xf>
    <xf numFmtId="0" fontId="12" fillId="6" borderId="10" xfId="8" applyNumberFormat="1" applyFont="1" applyBorder="1" applyAlignment="1">
      <alignment horizontal="centerContinuous" vertical="center" wrapText="1"/>
    </xf>
    <xf numFmtId="0" fontId="62" fillId="6" borderId="11" xfId="8" applyNumberFormat="1" applyFont="1" applyBorder="1" applyAlignment="1"/>
    <xf numFmtId="0" fontId="62" fillId="6" borderId="8" xfId="8" applyNumberFormat="1" applyFont="1" applyBorder="1" applyAlignment="1">
      <alignment vertical="center" wrapText="1"/>
    </xf>
    <xf numFmtId="0" fontId="70" fillId="6" borderId="8" xfId="8" applyNumberFormat="1" applyFont="1" applyBorder="1" applyAlignment="1">
      <alignment horizontal="left" indent="1"/>
    </xf>
    <xf numFmtId="0" fontId="71" fillId="6" borderId="8" xfId="8" applyNumberFormat="1" applyFont="1" applyBorder="1" applyAlignment="1">
      <alignment horizontal="left" indent="2"/>
    </xf>
    <xf numFmtId="0" fontId="72" fillId="6" borderId="8" xfId="8" applyNumberFormat="1" applyFont="1" applyBorder="1" applyAlignment="1">
      <alignment horizontal="left" indent="1"/>
    </xf>
    <xf numFmtId="0" fontId="62" fillId="6" borderId="11" xfId="8" applyNumberFormat="1" applyFont="1" applyBorder="1" applyAlignment="1">
      <alignment vertical="center"/>
    </xf>
    <xf numFmtId="0" fontId="72" fillId="6" borderId="8" xfId="8" applyNumberFormat="1" applyFont="1" applyBorder="1" applyAlignment="1">
      <alignment horizontal="left" indent="2"/>
    </xf>
    <xf numFmtId="0" fontId="72" fillId="6" borderId="8" xfId="8" applyNumberFormat="1" applyFont="1" applyBorder="1" applyAlignment="1">
      <alignment horizontal="left" wrapText="1" indent="2"/>
    </xf>
    <xf numFmtId="4" fontId="12" fillId="6" borderId="10" xfId="8" applyNumberFormat="1" applyFont="1" applyBorder="1" applyAlignment="1">
      <alignment horizontal="centerContinuous" vertical="center" wrapText="1"/>
    </xf>
    <xf numFmtId="0" fontId="62" fillId="6" borderId="11" xfId="8" applyNumberFormat="1" applyFont="1" applyBorder="1" applyAlignment="1">
      <alignment wrapText="1"/>
    </xf>
    <xf numFmtId="0" fontId="63" fillId="6" borderId="5" xfId="8" applyNumberFormat="1" applyFont="1" applyBorder="1" applyAlignment="1"/>
    <xf numFmtId="0" fontId="73" fillId="6" borderId="2" xfId="8" applyNumberFormat="1" applyFont="1" applyBorder="1" applyAlignment="1">
      <alignment horizontal="centerContinuous"/>
    </xf>
    <xf numFmtId="0" fontId="73" fillId="6" borderId="5" xfId="8" applyNumberFormat="1" applyFont="1" applyBorder="1" applyAlignment="1">
      <alignment horizontal="centerContinuous"/>
    </xf>
    <xf numFmtId="0" fontId="1" fillId="6" borderId="8" xfId="8" applyNumberFormat="1" applyFont="1" applyBorder="1" applyAlignment="1"/>
    <xf numFmtId="0" fontId="1" fillId="6" borderId="10" xfId="8" applyNumberFormat="1" applyFont="1" applyBorder="1" applyAlignment="1"/>
    <xf numFmtId="0" fontId="1" fillId="6" borderId="8" xfId="8" applyNumberFormat="1" applyFont="1" applyBorder="1" applyAlignment="1">
      <alignment vertical="center" wrapText="1"/>
    </xf>
    <xf numFmtId="0" fontId="7" fillId="6" borderId="8" xfId="8" applyNumberFormat="1" applyFont="1" applyBorder="1" applyAlignment="1">
      <alignment horizontal="left" indent="1"/>
    </xf>
    <xf numFmtId="0" fontId="4" fillId="6" borderId="8" xfId="8" applyNumberFormat="1" applyFont="1" applyBorder="1" applyAlignment="1">
      <alignment horizontal="left" indent="2"/>
    </xf>
    <xf numFmtId="0" fontId="24" fillId="6" borderId="8" xfId="8" applyNumberFormat="1" applyFont="1" applyBorder="1" applyAlignment="1">
      <alignment horizontal="left" indent="1"/>
    </xf>
    <xf numFmtId="0" fontId="1" fillId="6" borderId="24" xfId="8" applyNumberFormat="1" applyFont="1" applyBorder="1" applyAlignment="1"/>
    <xf numFmtId="3" fontId="41" fillId="6" borderId="12" xfId="8" applyNumberFormat="1" applyFont="1" applyBorder="1" applyAlignment="1">
      <alignment horizontal="right" vertical="center"/>
    </xf>
    <xf numFmtId="3" fontId="41" fillId="6" borderId="13" xfId="8" applyNumberFormat="1" applyFont="1" applyBorder="1" applyAlignment="1">
      <alignment horizontal="right" vertical="center"/>
    </xf>
    <xf numFmtId="0" fontId="1" fillId="6" borderId="7" xfId="8" applyNumberFormat="1" applyFont="1" applyBorder="1" applyAlignment="1"/>
    <xf numFmtId="3" fontId="41" fillId="6" borderId="0" xfId="8" applyNumberFormat="1" applyFont="1" applyBorder="1" applyAlignment="1">
      <alignment horizontal="right" vertical="center"/>
    </xf>
    <xf numFmtId="3" fontId="41" fillId="6" borderId="3" xfId="8" applyNumberFormat="1" applyFont="1" applyBorder="1" applyAlignment="1">
      <alignment horizontal="right" vertical="center"/>
    </xf>
    <xf numFmtId="0" fontId="1" fillId="6" borderId="7" xfId="8" applyNumberFormat="1" applyFont="1" applyBorder="1" applyAlignment="1">
      <alignment wrapText="1"/>
    </xf>
    <xf numFmtId="0" fontId="4" fillId="6" borderId="7" xfId="8" applyNumberFormat="1" applyFont="1" applyBorder="1" applyAlignment="1">
      <alignment horizontal="left" indent="1"/>
    </xf>
    <xf numFmtId="0" fontId="41" fillId="6" borderId="11" xfId="8" applyNumberFormat="1" applyFont="1" applyBorder="1" applyAlignment="1"/>
    <xf numFmtId="0" fontId="41" fillId="6" borderId="8" xfId="8" applyNumberFormat="1" applyFont="1" applyBorder="1" applyAlignment="1">
      <alignment horizontal="left"/>
    </xf>
    <xf numFmtId="0" fontId="41" fillId="6" borderId="10" xfId="8" applyNumberFormat="1" applyFont="1" applyBorder="1" applyAlignment="1">
      <alignment horizontal="left"/>
    </xf>
    <xf numFmtId="0" fontId="41" fillId="6" borderId="5" xfId="8" applyNumberFormat="1" applyFont="1" applyBorder="1" applyAlignment="1">
      <alignment horizontal="left"/>
    </xf>
    <xf numFmtId="0" fontId="63" fillId="6" borderId="10" xfId="8" applyNumberFormat="1" applyFont="1" applyBorder="1" applyAlignment="1">
      <alignment horizontal="left" vertical="center"/>
    </xf>
    <xf numFmtId="0" fontId="12" fillId="6" borderId="10" xfId="8" applyNumberFormat="1" applyFont="1" applyBorder="1" applyAlignment="1">
      <alignment horizontal="center" vertical="center" wrapText="1"/>
    </xf>
    <xf numFmtId="0" fontId="74" fillId="6" borderId="11" xfId="8" applyNumberFormat="1" applyFont="1" applyBorder="1" applyAlignment="1">
      <alignment horizontal="left" vertical="center" wrapText="1"/>
    </xf>
    <xf numFmtId="0" fontId="74" fillId="6" borderId="8" xfId="8" applyNumberFormat="1" applyFont="1" applyBorder="1" applyAlignment="1">
      <alignment horizontal="left" vertical="top" wrapText="1"/>
    </xf>
    <xf numFmtId="0" fontId="41" fillId="6" borderId="8" xfId="8" applyNumberFormat="1" applyFont="1" applyBorder="1" applyAlignment="1">
      <alignment horizontal="justify" vertical="top"/>
    </xf>
    <xf numFmtId="0" fontId="74" fillId="6" borderId="8" xfId="8" applyNumberFormat="1" applyFont="1" applyBorder="1" applyAlignment="1">
      <alignment horizontal="left" vertical="center" wrapText="1"/>
    </xf>
    <xf numFmtId="0" fontId="41" fillId="6" borderId="8" xfId="8" applyNumberFormat="1" applyFont="1" applyBorder="1" applyAlignment="1">
      <alignment horizontal="left" vertical="center"/>
    </xf>
    <xf numFmtId="0" fontId="41" fillId="6" borderId="10" xfId="8" applyNumberFormat="1" applyFont="1" applyBorder="1" applyAlignment="1">
      <alignment horizontal="left" vertical="center" wrapText="1"/>
    </xf>
    <xf numFmtId="0" fontId="75" fillId="6" borderId="8" xfId="8" applyNumberFormat="1" applyFont="1" applyBorder="1" applyAlignment="1">
      <alignment horizontal="left" vertical="top" indent="1"/>
    </xf>
    <xf numFmtId="0" fontId="74" fillId="6" borderId="11" xfId="8" applyNumberFormat="1" applyFont="1" applyBorder="1" applyAlignment="1">
      <alignment vertical="top"/>
    </xf>
    <xf numFmtId="0" fontId="74" fillId="6" borderId="10" xfId="8" applyNumberFormat="1" applyFont="1" applyBorder="1" applyAlignment="1">
      <alignment vertical="top"/>
    </xf>
    <xf numFmtId="0" fontId="41" fillId="6" borderId="5" xfId="8" applyNumberFormat="1" applyFont="1" applyBorder="1" applyAlignment="1">
      <alignment horizontal="left" vertical="center"/>
    </xf>
    <xf numFmtId="0" fontId="67" fillId="6" borderId="10" xfId="8" applyNumberFormat="1" applyFont="1" applyBorder="1" applyAlignment="1">
      <alignment horizontal="left" vertical="center"/>
    </xf>
    <xf numFmtId="0" fontId="12" fillId="6" borderId="5" xfId="8" applyNumberFormat="1" applyFont="1" applyBorder="1" applyAlignment="1">
      <alignment horizontal="centerContinuous" vertical="center" wrapText="1"/>
    </xf>
    <xf numFmtId="0" fontId="12" fillId="6" borderId="5" xfId="8" applyNumberFormat="1" applyFont="1" applyBorder="1" applyAlignment="1">
      <alignment horizontal="center" vertical="center" wrapText="1"/>
    </xf>
    <xf numFmtId="0" fontId="41" fillId="6" borderId="10" xfId="8" applyNumberFormat="1" applyFont="1" applyBorder="1" applyAlignment="1">
      <alignment horizontal="left" vertical="center"/>
    </xf>
    <xf numFmtId="0" fontId="41" fillId="6" borderId="5" xfId="8" applyNumberFormat="1" applyFont="1" applyBorder="1" applyAlignment="1"/>
    <xf numFmtId="0" fontId="37" fillId="6" borderId="11" xfId="8" applyNumberFormat="1" applyFont="1" applyBorder="1" applyAlignment="1"/>
    <xf numFmtId="0" fontId="41" fillId="6" borderId="8" xfId="8" applyNumberFormat="1" applyFont="1" applyBorder="1" applyAlignment="1">
      <alignment horizontal="left" indent="1"/>
    </xf>
    <xf numFmtId="0" fontId="37" fillId="6" borderId="5" xfId="8" applyNumberFormat="1" applyFont="1" applyBorder="1" applyAlignment="1">
      <alignment horizontal="left" indent="1"/>
    </xf>
    <xf numFmtId="0" fontId="69" fillId="6" borderId="7" xfId="8" applyNumberFormat="1" applyFont="1" applyBorder="1" applyAlignment="1">
      <alignment horizontal="left" vertical="top" indent="2"/>
    </xf>
    <xf numFmtId="0" fontId="69" fillId="6" borderId="9" xfId="8" applyNumberFormat="1" applyFont="1" applyBorder="1" applyAlignment="1">
      <alignment horizontal="left" vertical="top" indent="2"/>
    </xf>
    <xf numFmtId="0" fontId="20" fillId="6" borderId="5" xfId="8" applyNumberFormat="1" applyFont="1" applyBorder="1" applyAlignment="1">
      <alignment horizontal="center" vertical="center" wrapText="1"/>
    </xf>
    <xf numFmtId="0" fontId="5" fillId="6" borderId="5" xfId="8" applyNumberFormat="1" applyFont="1" applyBorder="1" applyAlignment="1">
      <alignment horizontal="center"/>
    </xf>
    <xf numFmtId="0" fontId="62" fillId="6" borderId="24" xfId="8" applyNumberFormat="1" applyFont="1" applyBorder="1" applyAlignment="1">
      <alignment horizontal="left"/>
    </xf>
    <xf numFmtId="0" fontId="62" fillId="6" borderId="7" xfId="8" applyNumberFormat="1" applyFont="1" applyBorder="1" applyAlignment="1">
      <alignment horizontal="left"/>
    </xf>
    <xf numFmtId="0" fontId="62" fillId="6" borderId="9" xfId="8" applyNumberFormat="1" applyFont="1" applyBorder="1" applyAlignment="1">
      <alignment horizontal="left"/>
    </xf>
    <xf numFmtId="0" fontId="62" fillId="6" borderId="5" xfId="8" applyNumberFormat="1" applyFont="1" applyBorder="1" applyAlignment="1">
      <alignment horizontal="center" wrapText="1"/>
    </xf>
    <xf numFmtId="0" fontId="62" fillId="6" borderId="11" xfId="8" applyNumberFormat="1" applyFont="1" applyBorder="1" applyAlignment="1">
      <alignment horizontal="center" vertical="center" wrapText="1"/>
    </xf>
    <xf numFmtId="0" fontId="41" fillId="6" borderId="24" xfId="8" applyNumberFormat="1" applyFont="1" applyBorder="1" applyAlignment="1"/>
    <xf numFmtId="0" fontId="37" fillId="6" borderId="13" xfId="8" applyNumberFormat="1" applyFont="1" applyBorder="1" applyAlignment="1"/>
    <xf numFmtId="0" fontId="41" fillId="6" borderId="7" xfId="8" applyNumberFormat="1" applyFont="1" applyBorder="1" applyAlignment="1"/>
    <xf numFmtId="0" fontId="37" fillId="6" borderId="3" xfId="8" applyNumberFormat="1" applyFont="1" applyBorder="1" applyAlignment="1"/>
    <xf numFmtId="0" fontId="41" fillId="6" borderId="9" xfId="8" applyNumberFormat="1" applyFont="1" applyBorder="1" applyAlignment="1"/>
    <xf numFmtId="0" fontId="37" fillId="6" borderId="14" xfId="8" applyNumberFormat="1" applyFont="1" applyBorder="1" applyAlignment="1"/>
    <xf numFmtId="0" fontId="54" fillId="6" borderId="2" xfId="8" applyNumberFormat="1" applyFont="1" applyBorder="1" applyAlignment="1">
      <alignment horizontal="right"/>
    </xf>
    <xf numFmtId="0" fontId="37" fillId="6" borderId="6" xfId="8" applyNumberFormat="1" applyFont="1" applyBorder="1" applyAlignment="1">
      <alignment horizontal="centerContinuous"/>
    </xf>
    <xf numFmtId="0" fontId="37" fillId="6" borderId="4" xfId="8" applyNumberFormat="1" applyFont="1" applyBorder="1" applyAlignment="1">
      <alignment horizontal="centerContinuous"/>
    </xf>
    <xf numFmtId="0" fontId="41" fillId="6" borderId="10" xfId="8" applyNumberFormat="1" applyFont="1" applyBorder="1" applyAlignment="1"/>
    <xf numFmtId="0" fontId="37" fillId="6" borderId="5" xfId="8" applyNumberFormat="1" applyFont="1" applyBorder="1" applyAlignment="1">
      <alignment horizontal="center"/>
    </xf>
    <xf numFmtId="0" fontId="55" fillId="6" borderId="5" xfId="8" applyNumberFormat="1" applyFont="1" applyBorder="1" applyAlignment="1">
      <alignment horizontal="center"/>
    </xf>
    <xf numFmtId="0" fontId="56" fillId="6" borderId="8" xfId="8" applyNumberFormat="1" applyFont="1" applyBorder="1" applyAlignment="1">
      <alignment horizontal="left" indent="1"/>
    </xf>
    <xf numFmtId="0" fontId="57" fillId="6" borderId="7" xfId="8" applyNumberFormat="1" applyFont="1" applyBorder="1" applyAlignment="1">
      <alignment horizontal="left"/>
    </xf>
    <xf numFmtId="0" fontId="56" fillId="6" borderId="3" xfId="8" applyNumberFormat="1" applyFont="1" applyBorder="1" applyAlignment="1">
      <alignment horizontal="left" indent="2"/>
    </xf>
    <xf numFmtId="0" fontId="56" fillId="6" borderId="8" xfId="8" applyNumberFormat="1" applyFont="1" applyBorder="1" applyAlignment="1">
      <alignment horizontal="left"/>
    </xf>
    <xf numFmtId="0" fontId="76" fillId="6" borderId="3" xfId="8" quotePrefix="1" applyNumberFormat="1" applyFont="1" applyBorder="1" applyAlignment="1">
      <alignment horizontal="left" indent="2"/>
    </xf>
    <xf numFmtId="0" fontId="57" fillId="6" borderId="9" xfId="8" applyNumberFormat="1" applyFont="1" applyBorder="1" applyAlignment="1">
      <alignment horizontal="left"/>
    </xf>
    <xf numFmtId="0" fontId="56" fillId="6" borderId="14" xfId="8" applyNumberFormat="1" applyFont="1" applyBorder="1" applyAlignment="1">
      <alignment horizontal="left" indent="2"/>
    </xf>
    <xf numFmtId="0" fontId="56" fillId="6" borderId="10" xfId="8" applyNumberFormat="1" applyFont="1" applyBorder="1" applyAlignment="1">
      <alignment horizontal="left"/>
    </xf>
    <xf numFmtId="0" fontId="41" fillId="6" borderId="24" xfId="8" quotePrefix="1" applyNumberFormat="1" applyFont="1" applyBorder="1" applyAlignment="1"/>
    <xf numFmtId="0" fontId="37" fillId="6" borderId="13" xfId="8" quotePrefix="1" applyNumberFormat="1" applyFont="1" applyBorder="1" applyAlignment="1"/>
    <xf numFmtId="0" fontId="41" fillId="6" borderId="5" xfId="8" applyNumberFormat="1" applyFont="1" applyBorder="1" applyAlignment="1">
      <alignment horizontal="center"/>
    </xf>
    <xf numFmtId="0" fontId="68" fillId="6" borderId="14" xfId="8" applyNumberFormat="1" applyFont="1" applyBorder="1" applyAlignment="1"/>
    <xf numFmtId="0" fontId="56" fillId="6" borderId="2" xfId="8" applyNumberFormat="1" applyFont="1" applyBorder="1" applyAlignment="1">
      <alignment horizontal="centerContinuous"/>
    </xf>
    <xf numFmtId="0" fontId="54" fillId="6" borderId="4" xfId="8" applyNumberFormat="1" applyFont="1" applyBorder="1" applyAlignment="1">
      <alignment horizontal="centerContinuous"/>
    </xf>
    <xf numFmtId="0" fontId="54" fillId="6" borderId="6" xfId="8" applyNumberFormat="1" applyFont="1" applyBorder="1" applyAlignment="1">
      <alignment horizontal="centerContinuous"/>
    </xf>
    <xf numFmtId="3" fontId="56" fillId="6" borderId="2" xfId="8" applyNumberFormat="1" applyFont="1" applyBorder="1" applyAlignment="1">
      <alignment horizontal="centerContinuous" vertical="center"/>
    </xf>
    <xf numFmtId="3" fontId="41" fillId="6" borderId="2" xfId="8" applyNumberFormat="1" applyFont="1" applyBorder="1" applyAlignment="1">
      <alignment horizontal="centerContinuous" vertical="center"/>
    </xf>
    <xf numFmtId="0" fontId="56" fillId="6" borderId="11" xfId="8" applyNumberFormat="1" applyFont="1" applyBorder="1" applyAlignment="1"/>
    <xf numFmtId="0" fontId="56" fillId="6" borderId="2" xfId="8" applyNumberFormat="1" applyFont="1" applyBorder="1" applyAlignment="1"/>
    <xf numFmtId="0" fontId="41" fillId="6" borderId="4" xfId="8" applyNumberFormat="1" applyFont="1" applyBorder="1" applyAlignment="1"/>
    <xf numFmtId="0" fontId="41" fillId="6" borderId="6" xfId="8" applyNumberFormat="1" applyFont="1" applyBorder="1" applyAlignment="1"/>
    <xf numFmtId="0" fontId="56" fillId="6" borderId="24" xfId="8" applyNumberFormat="1" applyFont="1" applyBorder="1" applyAlignment="1">
      <alignment horizontal="left"/>
    </xf>
    <xf numFmtId="0" fontId="56" fillId="6" borderId="13" xfId="8" applyNumberFormat="1" applyFont="1" applyBorder="1" applyAlignment="1">
      <alignment horizontal="left"/>
    </xf>
    <xf numFmtId="0" fontId="56" fillId="6" borderId="5" xfId="8" applyNumberFormat="1" applyFont="1" applyBorder="1" applyAlignment="1"/>
    <xf numFmtId="0" fontId="56" fillId="6" borderId="9" xfId="8" applyNumberFormat="1" applyFont="1" applyBorder="1" applyAlignment="1">
      <alignment horizontal="left"/>
    </xf>
    <xf numFmtId="0" fontId="56" fillId="6" borderId="14" xfId="8" applyNumberFormat="1" applyFont="1" applyBorder="1" applyAlignment="1">
      <alignment horizontal="left"/>
    </xf>
    <xf numFmtId="9" fontId="55" fillId="6" borderId="11" xfId="8" applyNumberFormat="1" applyFont="1" applyBorder="1" applyAlignment="1">
      <alignment horizontal="center"/>
    </xf>
    <xf numFmtId="0" fontId="37" fillId="6" borderId="12" xfId="8" applyNumberFormat="1" applyFont="1" applyBorder="1" applyAlignment="1"/>
    <xf numFmtId="0" fontId="54" fillId="6" borderId="8" xfId="8" applyNumberFormat="1" applyFont="1" applyBorder="1" applyAlignment="1">
      <alignment horizontal="left" indent="1"/>
    </xf>
    <xf numFmtId="0" fontId="37" fillId="6" borderId="0" xfId="8" applyNumberFormat="1" applyFont="1" applyBorder="1" applyAlignment="1"/>
    <xf numFmtId="0" fontId="37" fillId="6" borderId="1" xfId="8" applyNumberFormat="1" applyFont="1" applyBorder="1" applyAlignment="1"/>
    <xf numFmtId="0" fontId="54" fillId="6" borderId="35" xfId="8" applyNumberFormat="1" applyFont="1" applyBorder="1" applyAlignment="1">
      <alignment horizontal="left" indent="1"/>
    </xf>
    <xf numFmtId="0" fontId="54" fillId="6" borderId="36" xfId="8" applyNumberFormat="1" applyFont="1" applyBorder="1" applyAlignment="1">
      <alignment horizontal="left" indent="1"/>
    </xf>
    <xf numFmtId="0" fontId="37" fillId="6" borderId="10" xfId="8" applyNumberFormat="1" applyFont="1" applyBorder="1" applyAlignment="1">
      <alignment horizontal="left"/>
    </xf>
    <xf numFmtId="0" fontId="37" fillId="6" borderId="24" xfId="8" applyNumberFormat="1" applyFont="1" applyBorder="1" applyAlignment="1">
      <alignment vertical="center"/>
    </xf>
    <xf numFmtId="0" fontId="37" fillId="6" borderId="12" xfId="8" applyNumberFormat="1" applyFont="1" applyBorder="1" applyAlignment="1">
      <alignment vertical="center"/>
    </xf>
    <xf numFmtId="0" fontId="37" fillId="6" borderId="13" xfId="8" applyNumberFormat="1" applyFont="1" applyBorder="1" applyAlignment="1">
      <alignment horizontal="right" vertical="center"/>
    </xf>
    <xf numFmtId="0" fontId="41" fillId="6" borderId="5" xfId="8" applyNumberFormat="1" applyFont="1" applyBorder="1" applyAlignment="1">
      <alignment horizontal="center" vertical="center" wrapText="1"/>
    </xf>
    <xf numFmtId="0" fontId="41" fillId="6" borderId="0" xfId="8" applyNumberFormat="1" applyFont="1" applyBorder="1" applyAlignment="1"/>
    <xf numFmtId="0" fontId="37" fillId="6" borderId="2" xfId="8" applyNumberFormat="1" applyFont="1" applyBorder="1" applyAlignment="1">
      <alignment horizontal="centerContinuous"/>
    </xf>
    <xf numFmtId="0" fontId="41" fillId="6" borderId="24" xfId="8" applyNumberFormat="1" applyFont="1" applyBorder="1" applyAlignment="1">
      <alignment horizontal="left"/>
    </xf>
    <xf numFmtId="0" fontId="41" fillId="6" borderId="13" xfId="8" applyNumberFormat="1" applyFont="1" applyBorder="1" applyAlignment="1">
      <alignment horizontal="left"/>
    </xf>
    <xf numFmtId="0" fontId="41" fillId="6" borderId="7" xfId="8" applyNumberFormat="1" applyFont="1" applyBorder="1" applyAlignment="1">
      <alignment horizontal="left"/>
    </xf>
    <xf numFmtId="0" fontId="41" fillId="6" borderId="14" xfId="8" applyNumberFormat="1" applyFont="1" applyBorder="1" applyAlignment="1">
      <alignment horizontal="left"/>
    </xf>
    <xf numFmtId="0" fontId="41" fillId="6" borderId="9" xfId="8" applyNumberFormat="1" applyFont="1" applyBorder="1" applyAlignment="1">
      <alignment horizontal="left"/>
    </xf>
    <xf numFmtId="0" fontId="41" fillId="6" borderId="2" xfId="8" applyNumberFormat="1" applyFont="1" applyBorder="1" applyAlignment="1"/>
    <xf numFmtId="0" fontId="41" fillId="6" borderId="2" xfId="8" applyNumberFormat="1" applyFont="1" applyBorder="1" applyAlignment="1">
      <alignment horizontal="centerContinuous"/>
    </xf>
    <xf numFmtId="0" fontId="37" fillId="6" borderId="46" xfId="8" applyNumberFormat="1" applyFont="1" applyBorder="1" applyAlignment="1">
      <alignment horizontal="centerContinuous"/>
    </xf>
    <xf numFmtId="0" fontId="55" fillId="6" borderId="47" xfId="8" applyNumberFormat="1" applyFont="1" applyBorder="1" applyAlignment="1">
      <alignment horizontal="center"/>
    </xf>
    <xf numFmtId="0" fontId="55" fillId="6" borderId="11" xfId="8" applyNumberFormat="1" applyFont="1" applyBorder="1" applyAlignment="1">
      <alignment horizontal="center"/>
    </xf>
    <xf numFmtId="0" fontId="56" fillId="6" borderId="12" xfId="8" applyNumberFormat="1" applyFont="1" applyBorder="1" applyAlignment="1"/>
    <xf numFmtId="0" fontId="54" fillId="6" borderId="12" xfId="8" applyNumberFormat="1" applyFont="1" applyBorder="1" applyAlignment="1"/>
    <xf numFmtId="0" fontId="54" fillId="6" borderId="13" xfId="8" applyNumberFormat="1" applyFont="1" applyBorder="1" applyAlignment="1"/>
    <xf numFmtId="0" fontId="41" fillId="6" borderId="9" xfId="8" applyNumberFormat="1" applyFont="1" applyBorder="1" applyAlignment="1">
      <alignment horizontal="right"/>
    </xf>
    <xf numFmtId="0" fontId="41" fillId="6" borderId="33" xfId="8" applyNumberFormat="1" applyFont="1" applyBorder="1" applyAlignment="1"/>
    <xf numFmtId="0" fontId="37" fillId="6" borderId="48" xfId="8" applyNumberFormat="1" applyFont="1" applyBorder="1" applyAlignment="1"/>
    <xf numFmtId="0" fontId="37" fillId="6" borderId="49" xfId="8" applyNumberFormat="1" applyFont="1" applyBorder="1" applyAlignment="1"/>
    <xf numFmtId="0" fontId="56" fillId="6" borderId="9" xfId="8" applyNumberFormat="1" applyFont="1" applyBorder="1" applyAlignment="1">
      <alignment horizontal="right"/>
    </xf>
    <xf numFmtId="0" fontId="41" fillId="6" borderId="7" xfId="8" applyNumberFormat="1" applyFont="1" applyBorder="1" applyAlignment="1">
      <alignment horizontal="left" indent="1"/>
    </xf>
    <xf numFmtId="3" fontId="41" fillId="6" borderId="7" xfId="8" applyNumberFormat="1" applyFont="1" applyBorder="1" applyAlignment="1"/>
    <xf numFmtId="0" fontId="41" fillId="6" borderId="0" xfId="8" applyNumberFormat="1" applyFont="1" applyBorder="1" applyAlignment="1">
      <alignment horizontal="left" indent="1"/>
    </xf>
    <xf numFmtId="0" fontId="37" fillId="6" borderId="50" xfId="8" applyNumberFormat="1" applyFont="1" applyBorder="1" applyAlignment="1"/>
    <xf numFmtId="0" fontId="41" fillId="6" borderId="51" xfId="8" applyNumberFormat="1" applyFont="1" applyBorder="1" applyAlignment="1">
      <alignment horizontal="left"/>
    </xf>
    <xf numFmtId="0" fontId="37" fillId="6" borderId="51" xfId="8" applyNumberFormat="1" applyFont="1" applyBorder="1" applyAlignment="1"/>
    <xf numFmtId="0" fontId="37" fillId="6" borderId="42" xfId="8" applyNumberFormat="1" applyFont="1" applyBorder="1" applyAlignment="1"/>
    <xf numFmtId="0" fontId="41" fillId="6" borderId="52" xfId="8" applyNumberFormat="1" applyFont="1" applyBorder="1" applyAlignment="1"/>
    <xf numFmtId="0" fontId="37" fillId="6" borderId="52" xfId="8" applyNumberFormat="1" applyFont="1" applyBorder="1" applyAlignment="1"/>
    <xf numFmtId="0" fontId="37" fillId="6" borderId="45" xfId="8" applyNumberFormat="1" applyFont="1" applyBorder="1" applyAlignment="1"/>
    <xf numFmtId="0" fontId="55" fillId="6" borderId="5" xfId="8" applyNumberFormat="1" applyFont="1" applyBorder="1" applyAlignment="1">
      <alignment horizontal="center" vertical="center" wrapText="1"/>
    </xf>
    <xf numFmtId="0" fontId="37" fillId="6" borderId="0" xfId="8" applyNumberFormat="1" applyFont="1" applyAlignment="1"/>
    <xf numFmtId="0" fontId="37" fillId="6" borderId="24" xfId="8" applyNumberFormat="1" applyFont="1" applyBorder="1" applyAlignment="1"/>
    <xf numFmtId="0" fontId="55" fillId="6" borderId="9" xfId="8" applyNumberFormat="1" applyFont="1" applyBorder="1" applyAlignment="1">
      <alignment horizontal="center"/>
    </xf>
    <xf numFmtId="0" fontId="41" fillId="6" borderId="12" xfId="8" applyNumberFormat="1" applyFont="1" applyBorder="1" applyAlignment="1">
      <alignment horizontal="left" indent="1"/>
    </xf>
    <xf numFmtId="0" fontId="41" fillId="6" borderId="12" xfId="8" applyNumberFormat="1" applyFont="1" applyBorder="1" applyAlignment="1"/>
    <xf numFmtId="0" fontId="41" fillId="6" borderId="3" xfId="8" applyNumberFormat="1" applyFont="1" applyBorder="1" applyAlignment="1"/>
    <xf numFmtId="0" fontId="41" fillId="6" borderId="1" xfId="8" applyNumberFormat="1" applyFont="1" applyBorder="1" applyAlignment="1">
      <alignment horizontal="left" indent="1"/>
    </xf>
    <xf numFmtId="0" fontId="41" fillId="6" borderId="1" xfId="8" applyNumberFormat="1" applyFont="1" applyBorder="1" applyAlignment="1"/>
    <xf numFmtId="0" fontId="41" fillId="6" borderId="14" xfId="8" applyNumberFormat="1" applyFont="1" applyBorder="1" applyAlignment="1"/>
    <xf numFmtId="0" fontId="41" fillId="6" borderId="24" xfId="8" applyNumberFormat="1" applyFont="1" applyBorder="1" applyAlignment="1">
      <alignment horizontal="left" indent="1"/>
    </xf>
    <xf numFmtId="0" fontId="41" fillId="6" borderId="9" xfId="8" applyNumberFormat="1" applyFont="1" applyBorder="1" applyAlignment="1">
      <alignment horizontal="left" indent="1"/>
    </xf>
    <xf numFmtId="0" fontId="37" fillId="6" borderId="2" xfId="8" applyNumberFormat="1" applyFont="1" applyBorder="1" applyAlignment="1"/>
    <xf numFmtId="0" fontId="37" fillId="6" borderId="4" xfId="8" applyNumberFormat="1" applyFont="1" applyBorder="1" applyAlignment="1"/>
    <xf numFmtId="0" fontId="37" fillId="6" borderId="6" xfId="8" applyNumberFormat="1" applyFont="1" applyBorder="1" applyAlignment="1"/>
    <xf numFmtId="0" fontId="55" fillId="6" borderId="8" xfId="8" applyNumberFormat="1" applyFont="1" applyBorder="1" applyAlignment="1">
      <alignment horizontal="left" indent="1"/>
    </xf>
    <xf numFmtId="0" fontId="4" fillId="6" borderId="7" xfId="8" applyNumberFormat="1" applyFont="1" applyBorder="1" applyAlignment="1">
      <alignment horizontal="left" vertical="top" indent="1"/>
    </xf>
    <xf numFmtId="0" fontId="4" fillId="6" borderId="9" xfId="8" applyNumberFormat="1" applyFont="1" applyBorder="1" applyAlignment="1">
      <alignment horizontal="left" vertical="top" indent="1"/>
    </xf>
    <xf numFmtId="0" fontId="55" fillId="6" borderId="5" xfId="8" applyNumberFormat="1" applyFont="1" applyBorder="1" applyAlignment="1">
      <alignment horizontal="centerContinuous"/>
    </xf>
    <xf numFmtId="0" fontId="41" fillId="6" borderId="24" xfId="8" applyNumberFormat="1" applyFont="1" applyBorder="1" applyAlignment="1">
      <alignment horizontal="center"/>
    </xf>
    <xf numFmtId="0" fontId="41" fillId="6" borderId="12" xfId="8" applyNumberFormat="1" applyFont="1" applyBorder="1" applyAlignment="1">
      <alignment horizontal="center"/>
    </xf>
    <xf numFmtId="0" fontId="41" fillId="6" borderId="13" xfId="8" applyNumberFormat="1" applyFont="1" applyBorder="1" applyAlignment="1">
      <alignment horizontal="center"/>
    </xf>
    <xf numFmtId="0" fontId="55" fillId="6" borderId="11" xfId="8" applyNumberFormat="1" applyFont="1" applyBorder="1" applyAlignment="1">
      <alignment horizontal="centerContinuous"/>
    </xf>
    <xf numFmtId="0" fontId="37" fillId="6" borderId="13" xfId="8" applyNumberFormat="1" applyFont="1" applyBorder="1" applyAlignment="1">
      <alignment horizontal="centerContinuous"/>
    </xf>
    <xf numFmtId="0" fontId="55" fillId="6" borderId="13" xfId="8" applyNumberFormat="1" applyFont="1" applyBorder="1" applyAlignment="1">
      <alignment horizontal="centerContinuous"/>
    </xf>
    <xf numFmtId="0" fontId="55" fillId="6" borderId="6" xfId="8" applyNumberFormat="1" applyFont="1" applyBorder="1" applyAlignment="1">
      <alignment horizontal="center"/>
    </xf>
    <xf numFmtId="0" fontId="62" fillId="6" borderId="24" xfId="8" applyNumberFormat="1" applyFont="1" applyBorder="1" applyAlignment="1">
      <alignment horizontal="left" vertical="top"/>
    </xf>
    <xf numFmtId="0" fontId="72" fillId="6" borderId="7" xfId="8" applyNumberFormat="1" applyFont="1" applyBorder="1" applyAlignment="1">
      <alignment horizontal="left" vertical="top" indent="1"/>
    </xf>
    <xf numFmtId="0" fontId="72" fillId="6" borderId="9" xfId="8" applyNumberFormat="1" applyFont="1" applyBorder="1" applyAlignment="1">
      <alignment horizontal="left" vertical="top" indent="1"/>
    </xf>
    <xf numFmtId="0" fontId="72" fillId="6" borderId="5" xfId="8" applyNumberFormat="1" applyFont="1" applyBorder="1" applyAlignment="1">
      <alignment horizontal="left" vertical="top"/>
    </xf>
    <xf numFmtId="0" fontId="63" fillId="6" borderId="2" xfId="8" applyNumberFormat="1" applyFont="1" applyBorder="1" applyAlignment="1">
      <alignment horizontal="centerContinuous" vertical="center" wrapText="1"/>
    </xf>
    <xf numFmtId="0" fontId="70" fillId="6" borderId="5" xfId="8" applyNumberFormat="1" applyFont="1" applyBorder="1" applyAlignment="1">
      <alignment horizontal="centerContinuous" wrapText="1"/>
    </xf>
    <xf numFmtId="0" fontId="68" fillId="6" borderId="5" xfId="8" applyNumberFormat="1" applyFont="1" applyBorder="1" applyAlignment="1">
      <alignment horizontal="centerContinuous" vertical="center" wrapText="1"/>
    </xf>
    <xf numFmtId="0" fontId="62" fillId="6" borderId="5" xfId="8" applyNumberFormat="1" applyFont="1" applyBorder="1" applyAlignment="1">
      <alignment horizontal="center" vertical="center" wrapText="1"/>
    </xf>
    <xf numFmtId="0" fontId="62" fillId="6" borderId="2" xfId="8" applyNumberFormat="1" applyFont="1" applyBorder="1" applyAlignment="1">
      <alignment horizontal="left" vertical="top"/>
    </xf>
    <xf numFmtId="0" fontId="2" fillId="6" borderId="2" xfId="8" applyNumberFormat="1" applyFont="1" applyBorder="1" applyAlignment="1">
      <alignment horizontal="left" vertical="top"/>
    </xf>
    <xf numFmtId="0" fontId="63" fillId="6" borderId="2" xfId="8" applyNumberFormat="1" applyFont="1" applyBorder="1" applyAlignment="1">
      <alignment horizontal="left" vertical="center" wrapText="1"/>
    </xf>
    <xf numFmtId="0" fontId="2" fillId="6" borderId="4" xfId="8" applyNumberFormat="1" applyFont="1" applyBorder="1" applyAlignment="1">
      <alignment horizontal="left" vertical="center" wrapText="1"/>
    </xf>
    <xf numFmtId="0" fontId="62" fillId="6" borderId="7" xfId="8" applyNumberFormat="1" applyFont="1" applyBorder="1" applyAlignment="1">
      <alignment horizontal="left" vertical="center"/>
    </xf>
    <xf numFmtId="0" fontId="1" fillId="6" borderId="0" xfId="8" applyNumberFormat="1" applyFont="1" applyBorder="1" applyAlignment="1">
      <alignment horizontal="left" vertical="top"/>
    </xf>
    <xf numFmtId="0" fontId="41" fillId="6" borderId="24" xfId="8" applyNumberFormat="1" applyFont="1" applyBorder="1" applyAlignment="1">
      <alignment vertical="center"/>
    </xf>
    <xf numFmtId="0" fontId="44" fillId="6" borderId="12" xfId="8" applyNumberFormat="1" applyFont="1" applyBorder="1" applyAlignment="1"/>
    <xf numFmtId="0" fontId="63" fillId="6" borderId="9" xfId="8" applyNumberFormat="1" applyFont="1" applyBorder="1" applyAlignment="1">
      <alignment horizontal="left" vertical="center"/>
    </xf>
    <xf numFmtId="0" fontId="2" fillId="6" borderId="1" xfId="8" applyNumberFormat="1" applyFont="1" applyBorder="1" applyAlignment="1">
      <alignment horizontal="left" vertical="top"/>
    </xf>
    <xf numFmtId="0" fontId="2" fillId="6" borderId="12" xfId="8" applyNumberFormat="1" applyFont="1" applyBorder="1" applyAlignment="1">
      <alignment horizontal="left" vertical="top"/>
    </xf>
    <xf numFmtId="0" fontId="41" fillId="6" borderId="7" xfId="8" applyNumberFormat="1" applyFont="1" applyBorder="1" applyAlignment="1">
      <alignment vertical="center"/>
    </xf>
    <xf numFmtId="0" fontId="44" fillId="6" borderId="0" xfId="8" applyNumberFormat="1" applyFont="1" applyBorder="1" applyAlignment="1"/>
    <xf numFmtId="0" fontId="2" fillId="6" borderId="2" xfId="8" applyNumberFormat="1" applyFont="1" applyBorder="1" applyAlignment="1">
      <alignment horizontal="left" vertical="center"/>
    </xf>
    <xf numFmtId="0" fontId="2" fillId="6" borderId="6" xfId="8" applyNumberFormat="1" applyFont="1" applyBorder="1" applyAlignment="1">
      <alignment horizontal="left" vertical="center" wrapText="1"/>
    </xf>
    <xf numFmtId="0" fontId="2" fillId="6" borderId="24" xfId="8" applyNumberFormat="1" applyFont="1" applyBorder="1" applyAlignment="1">
      <alignment horizontal="left" vertical="center"/>
    </xf>
    <xf numFmtId="0" fontId="2" fillId="6" borderId="13" xfId="8" applyNumberFormat="1" applyFont="1" applyBorder="1" applyAlignment="1">
      <alignment horizontal="left" vertical="center" wrapText="1"/>
    </xf>
    <xf numFmtId="0" fontId="47" fillId="6" borderId="12" xfId="8" applyNumberFormat="1" applyFont="1" applyBorder="1" applyAlignment="1"/>
    <xf numFmtId="0" fontId="47" fillId="6" borderId="13" xfId="8" applyNumberFormat="1" applyFont="1" applyBorder="1" applyAlignment="1"/>
    <xf numFmtId="0" fontId="47" fillId="6" borderId="0" xfId="8" applyNumberFormat="1" applyFont="1" applyBorder="1" applyAlignment="1"/>
    <xf numFmtId="0" fontId="47" fillId="6" borderId="3" xfId="8" applyNumberFormat="1" applyFont="1" applyBorder="1" applyAlignment="1"/>
    <xf numFmtId="0" fontId="47" fillId="6" borderId="1" xfId="8" applyNumberFormat="1" applyFont="1" applyBorder="1" applyAlignment="1"/>
    <xf numFmtId="0" fontId="47" fillId="6" borderId="14" xfId="8" applyNumberFormat="1" applyFont="1" applyBorder="1" applyAlignment="1"/>
    <xf numFmtId="0" fontId="77" fillId="6" borderId="5" xfId="8" applyNumberFormat="1" applyFont="1" applyBorder="1" applyAlignment="1">
      <alignment horizontal="right"/>
    </xf>
    <xf numFmtId="0" fontId="44" fillId="6" borderId="24" xfId="8" applyNumberFormat="1" applyFont="1" applyBorder="1" applyAlignment="1">
      <alignment horizontal="center"/>
    </xf>
    <xf numFmtId="0" fontId="44" fillId="6" borderId="7" xfId="8" applyNumberFormat="1" applyFont="1" applyBorder="1" applyAlignment="1">
      <alignment horizontal="center"/>
    </xf>
    <xf numFmtId="0" fontId="44" fillId="6" borderId="9" xfId="8" applyNumberFormat="1" applyFont="1" applyBorder="1" applyAlignment="1">
      <alignment horizontal="center"/>
    </xf>
    <xf numFmtId="0" fontId="37" fillId="6" borderId="43" xfId="8" applyNumberFormat="1" applyFont="1" applyBorder="1" applyAlignment="1">
      <alignment horizontal="centerContinuous"/>
    </xf>
    <xf numFmtId="0" fontId="37" fillId="6" borderId="44" xfId="8" applyNumberFormat="1" applyFont="1" applyBorder="1" applyAlignment="1">
      <alignment horizontal="centerContinuous"/>
    </xf>
    <xf numFmtId="0" fontId="37" fillId="6" borderId="27" xfId="8" applyNumberFormat="1" applyFont="1" applyBorder="1" applyAlignment="1">
      <alignment horizontal="centerContinuous"/>
    </xf>
    <xf numFmtId="0" fontId="44" fillId="6" borderId="0" xfId="8" applyNumberFormat="1" applyFont="1" applyAlignment="1">
      <alignment horizontal="center"/>
    </xf>
    <xf numFmtId="0" fontId="63" fillId="6" borderId="2" xfId="8" applyNumberFormat="1" applyFont="1" applyBorder="1" applyAlignment="1">
      <alignment horizontal="centerContinuous" wrapText="1"/>
    </xf>
    <xf numFmtId="0" fontId="63" fillId="6" borderId="6" xfId="8" applyNumberFormat="1" applyFont="1" applyBorder="1" applyAlignment="1">
      <alignment horizontal="centerContinuous" wrapText="1"/>
    </xf>
    <xf numFmtId="0" fontId="63" fillId="6" borderId="11" xfId="8" applyNumberFormat="1" applyFont="1" applyBorder="1" applyAlignment="1">
      <alignment horizontal="center" wrapText="1"/>
    </xf>
    <xf numFmtId="0" fontId="78" fillId="6" borderId="7" xfId="8" applyNumberFormat="1" applyFont="1" applyBorder="1" applyAlignment="1">
      <alignment horizontal="center"/>
    </xf>
    <xf numFmtId="0" fontId="78" fillId="6" borderId="3" xfId="8" applyNumberFormat="1" applyFont="1" applyBorder="1" applyAlignment="1">
      <alignment horizontal="center"/>
    </xf>
    <xf numFmtId="3" fontId="37" fillId="6" borderId="9" xfId="8" applyNumberFormat="1" applyFont="1" applyBorder="1" applyAlignment="1">
      <alignment horizontal="left" vertical="center"/>
    </xf>
    <xf numFmtId="3" fontId="37" fillId="6" borderId="1" xfId="8" applyNumberFormat="1" applyFont="1" applyBorder="1" applyAlignment="1">
      <alignment horizontal="right" vertical="center"/>
    </xf>
    <xf numFmtId="0" fontId="54" fillId="6" borderId="2" xfId="8" applyNumberFormat="1" applyFont="1" applyBorder="1" applyAlignment="1"/>
    <xf numFmtId="0" fontId="54" fillId="6" borderId="6" xfId="8" applyNumberFormat="1" applyFont="1" applyBorder="1" applyAlignment="1"/>
    <xf numFmtId="0" fontId="41" fillId="6" borderId="8" xfId="8" applyNumberFormat="1" applyFont="1" applyBorder="1" applyAlignment="1">
      <alignment horizontal="center"/>
    </xf>
    <xf numFmtId="0" fontId="41" fillId="6" borderId="8" xfId="8" applyNumberFormat="1" applyFont="1" applyBorder="1" applyAlignment="1"/>
    <xf numFmtId="0" fontId="44" fillId="6" borderId="8" xfId="8" applyNumberFormat="1" applyFont="1" applyBorder="1" applyAlignment="1"/>
    <xf numFmtId="3" fontId="41" fillId="6" borderId="8" xfId="8" applyNumberFormat="1" applyFont="1" applyBorder="1" applyAlignment="1">
      <alignment horizontal="center" vertical="center"/>
    </xf>
    <xf numFmtId="0" fontId="44" fillId="6" borderId="5" xfId="8" applyNumberFormat="1" applyFont="1" applyBorder="1" applyAlignment="1"/>
    <xf numFmtId="0" fontId="44" fillId="6" borderId="2" xfId="8" applyNumberFormat="1" applyFont="1" applyBorder="1" applyAlignment="1">
      <alignment horizontal="centerContinuous"/>
    </xf>
    <xf numFmtId="0" fontId="44" fillId="6" borderId="4" xfId="8" applyNumberFormat="1" applyFont="1" applyBorder="1" applyAlignment="1">
      <alignment horizontal="centerContinuous"/>
    </xf>
    <xf numFmtId="0" fontId="41" fillId="6" borderId="4" xfId="8" applyNumberFormat="1" applyFont="1" applyBorder="1" applyAlignment="1">
      <alignment horizontal="centerContinuous"/>
    </xf>
    <xf numFmtId="0" fontId="41" fillId="6" borderId="6" xfId="8" applyNumberFormat="1" applyFont="1" applyBorder="1" applyAlignment="1">
      <alignment horizontal="centerContinuous"/>
    </xf>
    <xf numFmtId="0" fontId="66" fillId="6" borderId="14" xfId="8" applyNumberFormat="1" applyFont="1" applyBorder="1" applyAlignment="1">
      <alignment horizontal="center" vertical="center" wrapText="1"/>
    </xf>
    <xf numFmtId="0" fontId="66" fillId="6" borderId="10" xfId="8" applyNumberFormat="1" applyFont="1" applyBorder="1" applyAlignment="1">
      <alignment horizontal="center" vertical="center" wrapText="1"/>
    </xf>
    <xf numFmtId="0" fontId="68" fillId="6" borderId="24" xfId="8" applyNumberFormat="1" applyFont="1" applyBorder="1" applyAlignment="1">
      <alignment horizontal="left"/>
    </xf>
    <xf numFmtId="0" fontId="1" fillId="6" borderId="12" xfId="8" applyNumberFormat="1" applyFont="1" applyBorder="1" applyAlignment="1">
      <alignment horizontal="left"/>
    </xf>
    <xf numFmtId="0" fontId="71" fillId="6" borderId="7" xfId="8" applyNumberFormat="1" applyFont="1" applyBorder="1" applyAlignment="1">
      <alignment horizontal="left" indent="1"/>
    </xf>
    <xf numFmtId="0" fontId="4" fillId="6" borderId="0" xfId="8" applyNumberFormat="1" applyFont="1" applyBorder="1" applyAlignment="1">
      <alignment horizontal="left" indent="3"/>
    </xf>
    <xf numFmtId="0" fontId="5" fillId="6" borderId="12" xfId="8" applyNumberFormat="1" applyFont="1" applyBorder="1" applyAlignment="1">
      <alignment horizontal="left" wrapText="1" indent="1"/>
    </xf>
    <xf numFmtId="0" fontId="45" fillId="6" borderId="2" xfId="8" applyNumberFormat="1" applyFont="1" applyBorder="1" applyAlignment="1">
      <alignment wrapText="1"/>
    </xf>
    <xf numFmtId="0" fontId="23" fillId="6" borderId="6" xfId="8" applyNumberFormat="1" applyFont="1" applyBorder="1" applyAlignment="1">
      <alignment wrapText="1"/>
    </xf>
    <xf numFmtId="0" fontId="44" fillId="6" borderId="11" xfId="8" applyNumberFormat="1" applyFont="1" applyBorder="1" applyAlignment="1">
      <alignment horizontal="center"/>
    </xf>
    <xf numFmtId="0" fontId="44" fillId="6" borderId="8" xfId="8" applyNumberFormat="1" applyFont="1" applyBorder="1" applyAlignment="1">
      <alignment horizontal="center"/>
    </xf>
    <xf numFmtId="0" fontId="44" fillId="6" borderId="10" xfId="8" applyNumberFormat="1" applyFont="1" applyBorder="1" applyAlignment="1">
      <alignment horizontal="center"/>
    </xf>
    <xf numFmtId="165" fontId="62" fillId="6" borderId="10" xfId="8" applyNumberFormat="1" applyFont="1" applyBorder="1" applyAlignment="1">
      <alignment horizontal="right" vertical="center"/>
    </xf>
    <xf numFmtId="0" fontId="43" fillId="6" borderId="5" xfId="8" applyNumberFormat="1" applyFont="1" applyBorder="1" applyAlignment="1">
      <alignment horizontal="center"/>
    </xf>
    <xf numFmtId="0" fontId="6" fillId="6" borderId="7" xfId="8" applyNumberFormat="1" applyFont="1" applyBorder="1" applyAlignment="1">
      <alignment horizontal="left" indent="1"/>
    </xf>
    <xf numFmtId="0" fontId="1" fillId="6" borderId="9" xfId="8" applyNumberFormat="1" applyFont="1" applyBorder="1" applyAlignment="1"/>
    <xf numFmtId="0" fontId="37" fillId="6" borderId="11" xfId="8" applyNumberFormat="1" applyFont="1" applyBorder="1" applyAlignment="1">
      <alignment horizontal="center"/>
    </xf>
    <xf numFmtId="0" fontId="37" fillId="6" borderId="5" xfId="8" applyNumberFormat="1" applyFont="1" applyBorder="1" applyAlignment="1">
      <alignment vertical="center"/>
    </xf>
    <xf numFmtId="0" fontId="37" fillId="6" borderId="5" xfId="8" applyNumberFormat="1" applyFont="1" applyBorder="1" applyAlignment="1">
      <alignment horizontal="center" vertical="center" wrapText="1"/>
    </xf>
    <xf numFmtId="0" fontId="37" fillId="6" borderId="10" xfId="8" applyNumberFormat="1" applyFont="1" applyBorder="1" applyAlignment="1">
      <alignment horizontal="center" vertical="center" wrapText="1"/>
    </xf>
    <xf numFmtId="3" fontId="42" fillId="10" borderId="11" xfId="9" applyNumberFormat="1" applyBorder="1" applyAlignment="1">
      <alignment horizontal="right" vertical="center"/>
    </xf>
    <xf numFmtId="3" fontId="42" fillId="10" borderId="8" xfId="9" applyNumberFormat="1" applyBorder="1" applyAlignment="1">
      <alignment horizontal="right" vertical="center"/>
    </xf>
    <xf numFmtId="3" fontId="42" fillId="10" borderId="5" xfId="9" applyNumberFormat="1" applyBorder="1" applyAlignment="1">
      <alignment horizontal="right" vertical="center"/>
    </xf>
    <xf numFmtId="3" fontId="42" fillId="10" borderId="10" xfId="9" applyNumberFormat="1" applyBorder="1" applyAlignment="1">
      <alignment horizontal="right" vertical="center"/>
    </xf>
    <xf numFmtId="0" fontId="42" fillId="10" borderId="11" xfId="9" applyBorder="1"/>
    <xf numFmtId="0" fontId="42" fillId="10" borderId="24" xfId="9" applyBorder="1"/>
    <xf numFmtId="0" fontId="42" fillId="10" borderId="8" xfId="9" applyBorder="1"/>
    <xf numFmtId="3" fontId="42" fillId="10" borderId="7" xfId="9" applyNumberFormat="1" applyBorder="1" applyAlignment="1">
      <alignment horizontal="right" vertical="center"/>
    </xf>
    <xf numFmtId="0" fontId="42" fillId="10" borderId="7" xfId="9" applyBorder="1"/>
    <xf numFmtId="0" fontId="42" fillId="10" borderId="9" xfId="9" applyBorder="1"/>
    <xf numFmtId="3" fontId="42" fillId="10" borderId="1" xfId="9" applyNumberFormat="1" applyBorder="1" applyAlignment="1">
      <alignment horizontal="right" vertical="center"/>
    </xf>
    <xf numFmtId="3" fontId="42" fillId="10" borderId="14" xfId="9" applyNumberFormat="1" applyBorder="1" applyAlignment="1">
      <alignment horizontal="right" vertical="center"/>
    </xf>
    <xf numFmtId="3" fontId="42" fillId="10" borderId="1" xfId="9" applyNumberFormat="1" applyBorder="1" applyAlignment="1">
      <alignment horizontal="right"/>
    </xf>
    <xf numFmtId="3" fontId="42" fillId="10" borderId="9" xfId="9" applyNumberFormat="1" applyBorder="1" applyAlignment="1"/>
    <xf numFmtId="0" fontId="42" fillId="10" borderId="0" xfId="9" applyBorder="1"/>
    <xf numFmtId="0" fontId="42" fillId="10" borderId="3" xfId="9" applyBorder="1"/>
    <xf numFmtId="0" fontId="42" fillId="10" borderId="1" xfId="9" applyBorder="1"/>
    <xf numFmtId="0" fontId="42" fillId="10" borderId="14" xfId="9" applyBorder="1"/>
    <xf numFmtId="164" fontId="42" fillId="10" borderId="5" xfId="9" applyNumberFormat="1" applyBorder="1" applyAlignment="1">
      <alignment horizontal="right"/>
    </xf>
    <xf numFmtId="164" fontId="42" fillId="10" borderId="11" xfId="9" applyNumberFormat="1" applyBorder="1" applyAlignment="1">
      <alignment horizontal="right"/>
    </xf>
    <xf numFmtId="164" fontId="42" fillId="10" borderId="8" xfId="9" applyNumberFormat="1" applyBorder="1" applyAlignment="1">
      <alignment horizontal="right"/>
    </xf>
    <xf numFmtId="164" fontId="42" fillId="10" borderId="10" xfId="9" applyNumberFormat="1" applyBorder="1" applyAlignment="1">
      <alignment horizontal="right"/>
    </xf>
    <xf numFmtId="3" fontId="41" fillId="11" borderId="2" xfId="10" applyBorder="1" applyAlignment="1"/>
    <xf numFmtId="3" fontId="41" fillId="11" borderId="4" xfId="10" applyBorder="1" applyAlignment="1"/>
    <xf numFmtId="3" fontId="41" fillId="11" borderId="6" xfId="10" applyBorder="1" applyAlignment="1"/>
    <xf numFmtId="3" fontId="41" fillId="11" borderId="5" xfId="10" applyBorder="1" applyAlignment="1"/>
    <xf numFmtId="3" fontId="41" fillId="11" borderId="11" xfId="10" applyBorder="1" applyAlignment="1">
      <alignment horizontal="right" vertical="center"/>
    </xf>
    <xf numFmtId="3" fontId="41" fillId="11" borderId="16" xfId="10" applyBorder="1" applyAlignment="1">
      <alignment horizontal="right"/>
    </xf>
    <xf numFmtId="3" fontId="41" fillId="11" borderId="10" xfId="10" applyBorder="1" applyAlignment="1">
      <alignment horizontal="right"/>
    </xf>
    <xf numFmtId="3" fontId="41" fillId="11" borderId="10" xfId="10" applyBorder="1" applyAlignment="1">
      <alignment horizontal="right" vertical="center"/>
    </xf>
    <xf numFmtId="3" fontId="41" fillId="2" borderId="2" xfId="7" applyBorder="1" applyAlignment="1">
      <alignment horizontal="left" vertical="center"/>
      <protection locked="0"/>
    </xf>
    <xf numFmtId="3" fontId="41" fillId="4" borderId="2" xfId="5" applyBorder="1" applyAlignment="1">
      <alignment horizontal="left" vertical="center"/>
    </xf>
    <xf numFmtId="3" fontId="41" fillId="4" borderId="0" xfId="5" applyAlignment="1">
      <alignment horizontal="center" vertical="center"/>
    </xf>
    <xf numFmtId="0" fontId="38" fillId="0" borderId="0" xfId="0" applyFont="1"/>
    <xf numFmtId="0" fontId="42" fillId="10" borderId="7" xfId="9" applyNumberFormat="1" applyBorder="1" applyAlignment="1"/>
    <xf numFmtId="0" fontId="42" fillId="10" borderId="0" xfId="9" applyNumberFormat="1" applyBorder="1" applyAlignment="1"/>
    <xf numFmtId="0" fontId="42" fillId="10" borderId="3" xfId="9" applyNumberFormat="1" applyBorder="1" applyAlignment="1"/>
    <xf numFmtId="0" fontId="42" fillId="10" borderId="9" xfId="9" applyNumberFormat="1" applyBorder="1" applyAlignment="1"/>
    <xf numFmtId="0" fontId="42" fillId="10" borderId="1" xfId="9" applyNumberFormat="1" applyBorder="1" applyAlignment="1"/>
    <xf numFmtId="0" fontId="42" fillId="10" borderId="14" xfId="9" applyNumberFormat="1" applyBorder="1" applyAlignment="1"/>
    <xf numFmtId="3" fontId="41" fillId="4" borderId="9" xfId="5" applyBorder="1">
      <alignment horizontal="right" vertical="center"/>
    </xf>
    <xf numFmtId="0" fontId="37" fillId="6" borderId="2" xfId="8" applyNumberFormat="1" applyFont="1" applyBorder="1" applyAlignment="1">
      <alignment vertical="center"/>
    </xf>
    <xf numFmtId="0" fontId="37" fillId="6" borderId="4" xfId="8" applyNumberFormat="1" applyFont="1" applyBorder="1" applyAlignment="1">
      <alignment vertical="center"/>
    </xf>
    <xf numFmtId="0" fontId="37" fillId="6" borderId="6" xfId="8" applyNumberFormat="1" applyFont="1" applyBorder="1" applyAlignment="1">
      <alignment horizontal="right" vertical="center"/>
    </xf>
    <xf numFmtId="3" fontId="41" fillId="4" borderId="11" xfId="5" applyBorder="1" applyAlignment="1" applyProtection="1">
      <alignment horizontal="center" vertical="center"/>
      <protection locked="0"/>
    </xf>
    <xf numFmtId="0" fontId="70" fillId="19" borderId="7" xfId="0" applyFont="1" applyFill="1" applyBorder="1" applyAlignment="1" applyProtection="1">
      <alignment horizontal="left" indent="1"/>
    </xf>
    <xf numFmtId="0" fontId="70" fillId="23" borderId="7" xfId="0" applyFont="1" applyFill="1" applyBorder="1" applyAlignment="1" applyProtection="1">
      <alignment horizontal="left" indent="1"/>
    </xf>
    <xf numFmtId="0" fontId="72" fillId="0" borderId="2" xfId="0" applyFont="1" applyFill="1" applyBorder="1" applyAlignment="1">
      <alignment horizontal="right"/>
    </xf>
    <xf numFmtId="0" fontId="70" fillId="7" borderId="7" xfId="0" applyFont="1" applyFill="1" applyBorder="1" applyProtection="1"/>
    <xf numFmtId="0" fontId="72" fillId="19" borderId="7" xfId="0" applyFont="1" applyFill="1" applyBorder="1" applyAlignment="1" applyProtection="1">
      <alignment horizontal="left" indent="1"/>
    </xf>
    <xf numFmtId="0" fontId="59" fillId="10" borderId="12" xfId="0" applyFont="1" applyFill="1" applyBorder="1" applyAlignment="1">
      <alignment horizontal="right"/>
    </xf>
    <xf numFmtId="3" fontId="41" fillId="2" borderId="8" xfId="7" applyBorder="1" applyAlignment="1">
      <alignment horizontal="center" vertical="center"/>
      <protection locked="0"/>
    </xf>
    <xf numFmtId="14" fontId="41" fillId="2" borderId="8" xfId="7" applyNumberFormat="1" applyBorder="1" applyAlignment="1">
      <alignment horizontal="center" vertical="center"/>
      <protection locked="0"/>
    </xf>
    <xf numFmtId="3" fontId="41" fillId="2" borderId="10" xfId="7" applyBorder="1" applyAlignment="1">
      <alignment horizontal="center" vertical="center"/>
      <protection locked="0"/>
    </xf>
    <xf numFmtId="0" fontId="5" fillId="7" borderId="11" xfId="0" applyFont="1" applyFill="1" applyBorder="1" applyProtection="1"/>
    <xf numFmtId="3" fontId="41" fillId="2" borderId="24" xfId="7" applyBorder="1" applyAlignment="1">
      <alignment horizontal="left" vertical="center"/>
      <protection locked="0"/>
    </xf>
    <xf numFmtId="3" fontId="41" fillId="2" borderId="7" xfId="7" applyBorder="1" applyAlignment="1">
      <alignment horizontal="left" vertical="center"/>
      <protection locked="0"/>
    </xf>
    <xf numFmtId="3" fontId="41" fillId="2" borderId="7" xfId="7" quotePrefix="1" applyBorder="1" applyAlignment="1">
      <alignment horizontal="left" vertical="center"/>
      <protection locked="0"/>
    </xf>
    <xf numFmtId="3" fontId="41" fillId="2" borderId="9" xfId="7" applyBorder="1" applyAlignment="1">
      <alignment horizontal="left" vertical="center"/>
      <protection locked="0"/>
    </xf>
    <xf numFmtId="14" fontId="41" fillId="2" borderId="5" xfId="7" applyNumberFormat="1" applyBorder="1" applyAlignment="1">
      <alignment horizontal="center" vertical="center"/>
      <protection locked="0"/>
    </xf>
    <xf numFmtId="3" fontId="41" fillId="2" borderId="8" xfId="7" applyBorder="1" applyAlignment="1">
      <alignment horizontal="left" vertical="center"/>
      <protection locked="0"/>
    </xf>
    <xf numFmtId="0" fontId="59" fillId="10" borderId="0" xfId="0" applyFont="1" applyFill="1" applyBorder="1" applyAlignment="1">
      <alignment horizontal="right"/>
    </xf>
    <xf numFmtId="0" fontId="41" fillId="3" borderId="5" xfId="4" applyFont="1" applyBorder="1"/>
    <xf numFmtId="0" fontId="5" fillId="24" borderId="0" xfId="0" applyFont="1" applyFill="1" applyBorder="1" applyProtection="1"/>
    <xf numFmtId="0" fontId="5" fillId="24" borderId="3" xfId="0" applyFont="1" applyFill="1" applyBorder="1" applyProtection="1"/>
    <xf numFmtId="0" fontId="37" fillId="5" borderId="1" xfId="6" applyFont="1" applyBorder="1" applyAlignment="1">
      <alignment horizontal="center"/>
    </xf>
    <xf numFmtId="3" fontId="41" fillId="2" borderId="2" xfId="7" applyBorder="1">
      <alignment horizontal="right" vertical="center"/>
      <protection locked="0"/>
    </xf>
    <xf numFmtId="3" fontId="41" fillId="2" borderId="4" xfId="7" applyBorder="1">
      <alignment horizontal="right" vertical="center"/>
      <protection locked="0"/>
    </xf>
    <xf numFmtId="3" fontId="41" fillId="2" borderId="6" xfId="7" applyBorder="1">
      <alignment horizontal="right" vertical="center"/>
      <protection locked="0"/>
    </xf>
    <xf numFmtId="0" fontId="37" fillId="6" borderId="6" xfId="8" applyNumberFormat="1" applyFont="1" applyBorder="1" applyAlignment="1"/>
    <xf numFmtId="3" fontId="41" fillId="2" borderId="11" xfId="7" applyBorder="1" applyAlignment="1">
      <alignment horizontal="left" vertical="center"/>
      <protection locked="0"/>
    </xf>
    <xf numFmtId="3" fontId="41" fillId="2" borderId="10" xfId="7" applyBorder="1" applyAlignment="1">
      <alignment horizontal="left" vertical="center"/>
      <protection locked="0"/>
    </xf>
    <xf numFmtId="0" fontId="54" fillId="6" borderId="8" xfId="8" quotePrefix="1" applyNumberFormat="1" applyFont="1" applyBorder="1" applyAlignment="1">
      <alignment horizontal="left" indent="1"/>
    </xf>
    <xf numFmtId="0" fontId="54" fillId="6" borderId="35" xfId="8" quotePrefix="1" applyNumberFormat="1" applyFont="1" applyBorder="1" applyAlignment="1">
      <alignment horizontal="left" indent="1"/>
    </xf>
    <xf numFmtId="0" fontId="54" fillId="6" borderId="36" xfId="8" quotePrefix="1" applyNumberFormat="1" applyFont="1" applyBorder="1" applyAlignment="1">
      <alignment horizontal="left" indent="1"/>
    </xf>
    <xf numFmtId="0" fontId="55" fillId="6" borderId="11" xfId="8" applyNumberFormat="1" applyFont="1" applyBorder="1" applyAlignment="1">
      <alignment horizontal="center" vertical="center" wrapText="1"/>
    </xf>
    <xf numFmtId="0" fontId="41" fillId="6" borderId="7" xfId="8" applyNumberFormat="1" applyFont="1" applyBorder="1" applyAlignment="1"/>
    <xf numFmtId="0" fontId="41" fillId="6" borderId="9" xfId="8" applyNumberFormat="1" applyFont="1" applyBorder="1" applyAlignment="1"/>
    <xf numFmtId="0" fontId="25" fillId="9" borderId="2" xfId="0" applyFont="1" applyFill="1" applyBorder="1" applyAlignment="1" applyProtection="1">
      <alignment horizontal="left"/>
      <protection locked="0"/>
    </xf>
    <xf numFmtId="164" fontId="25" fillId="9" borderId="6" xfId="1" applyFont="1" applyFill="1" applyBorder="1" applyAlignment="1" applyProtection="1">
      <alignment horizontal="center"/>
      <protection locked="0"/>
    </xf>
    <xf numFmtId="168" fontId="62" fillId="15" borderId="5" xfId="1" applyNumberFormat="1" applyFont="1" applyFill="1" applyBorder="1" applyAlignment="1">
      <alignment horizontal="right"/>
    </xf>
    <xf numFmtId="0" fontId="63" fillId="6" borderId="2" xfId="8" applyNumberFormat="1" applyFont="1" applyBorder="1" applyAlignment="1">
      <alignment horizontal="left" vertical="top"/>
    </xf>
    <xf numFmtId="0" fontId="55" fillId="3" borderId="0" xfId="4" applyFont="1"/>
    <xf numFmtId="0" fontId="54" fillId="6" borderId="5" xfId="8" applyNumberFormat="1" applyFont="1" applyBorder="1" applyAlignment="1">
      <alignment horizontal="right"/>
    </xf>
    <xf numFmtId="0" fontId="37" fillId="6" borderId="43" xfId="8" applyNumberFormat="1" applyFont="1" applyBorder="1" applyAlignment="1">
      <alignment horizontal="centerContinuous"/>
    </xf>
    <xf numFmtId="0" fontId="37" fillId="6" borderId="44" xfId="8" applyNumberFormat="1" applyFont="1" applyBorder="1" applyAlignment="1">
      <alignment horizontal="centerContinuous"/>
    </xf>
    <xf numFmtId="0" fontId="37" fillId="6" borderId="27" xfId="8" applyNumberFormat="1" applyFont="1" applyBorder="1" applyAlignment="1">
      <alignment horizontal="centerContinuous"/>
    </xf>
    <xf numFmtId="0" fontId="55" fillId="3" borderId="5" xfId="4" applyFont="1" applyBorder="1"/>
    <xf numFmtId="165" fontId="62" fillId="31" borderId="5" xfId="0" applyNumberFormat="1" applyFont="1" applyFill="1" applyBorder="1" applyAlignment="1">
      <alignment horizontal="centerContinuous" vertical="center"/>
    </xf>
    <xf numFmtId="0" fontId="37" fillId="6" borderId="53" xfId="8" applyNumberFormat="1" applyFont="1" applyBorder="1" applyAlignment="1">
      <alignment horizontal="centerContinuous"/>
    </xf>
    <xf numFmtId="0" fontId="37" fillId="6" borderId="48" xfId="8" applyNumberFormat="1" applyFont="1" applyBorder="1" applyAlignment="1">
      <alignment horizontal="centerContinuous"/>
    </xf>
    <xf numFmtId="0" fontId="37" fillId="6" borderId="54" xfId="8" applyNumberFormat="1" applyFont="1" applyBorder="1" applyAlignment="1">
      <alignment horizontal="centerContinuous"/>
    </xf>
    <xf numFmtId="0" fontId="62" fillId="6" borderId="5" xfId="8" applyNumberFormat="1" applyFont="1" applyBorder="1" applyAlignment="1">
      <alignment horizontal="centerContinuous" vertical="center"/>
    </xf>
    <xf numFmtId="0" fontId="62" fillId="6" borderId="5" xfId="8" quotePrefix="1" applyNumberFormat="1" applyFont="1" applyBorder="1" applyAlignment="1">
      <alignment horizontal="centerContinuous" vertical="center"/>
    </xf>
    <xf numFmtId="0" fontId="69" fillId="6" borderId="2" xfId="8" applyNumberFormat="1" applyFont="1" applyBorder="1" applyAlignment="1">
      <alignment horizontal="centerContinuous" vertical="center" wrapText="1"/>
    </xf>
    <xf numFmtId="0" fontId="69" fillId="6" borderId="4" xfId="8" applyNumberFormat="1" applyFont="1" applyBorder="1" applyAlignment="1">
      <alignment horizontal="centerContinuous" vertical="center" wrapText="1"/>
    </xf>
    <xf numFmtId="0" fontId="69" fillId="6" borderId="6" xfId="8" applyNumberFormat="1" applyFont="1" applyBorder="1" applyAlignment="1">
      <alignment horizontal="centerContinuous" vertical="center" wrapText="1"/>
    </xf>
    <xf numFmtId="0" fontId="37" fillId="6" borderId="9" xfId="8" applyNumberFormat="1" applyFont="1" applyBorder="1" applyAlignment="1">
      <alignment horizontal="left"/>
    </xf>
    <xf numFmtId="0" fontId="56" fillId="6" borderId="4" xfId="8" applyNumberFormat="1" applyFont="1" applyBorder="1" applyAlignment="1"/>
    <xf numFmtId="0" fontId="54" fillId="6" borderId="4" xfId="8" applyNumberFormat="1" applyFont="1" applyBorder="1" applyAlignment="1"/>
    <xf numFmtId="0" fontId="0" fillId="13" borderId="11" xfId="0" applyFill="1" applyBorder="1" applyAlignment="1"/>
    <xf numFmtId="0" fontId="68" fillId="13" borderId="8" xfId="0" applyFont="1" applyFill="1" applyBorder="1" applyAlignment="1"/>
    <xf numFmtId="0" fontId="37" fillId="6" borderId="2" xfId="8" applyNumberFormat="1" applyFont="1" applyBorder="1" applyAlignment="1"/>
    <xf numFmtId="0" fontId="56" fillId="6" borderId="11" xfId="8" applyNumberFormat="1" applyFont="1" applyBorder="1" applyAlignment="1">
      <alignment horizontal="left"/>
    </xf>
    <xf numFmtId="0" fontId="37" fillId="6" borderId="2" xfId="8" applyNumberFormat="1" applyFont="1" applyBorder="1" applyAlignment="1">
      <alignment horizontal="centerContinuous"/>
    </xf>
    <xf numFmtId="3" fontId="41" fillId="2" borderId="7" xfId="7" applyBorder="1" applyAlignment="1">
      <alignment horizontal="left" vertical="center"/>
      <protection locked="0"/>
    </xf>
    <xf numFmtId="3" fontId="41" fillId="4" borderId="2" xfId="5" applyBorder="1">
      <alignment horizontal="right" vertical="center"/>
    </xf>
    <xf numFmtId="0" fontId="50" fillId="20" borderId="1" xfId="0" applyFont="1" applyFill="1" applyBorder="1" applyAlignment="1">
      <alignment horizontal="center"/>
    </xf>
    <xf numFmtId="0" fontId="50" fillId="20" borderId="14" xfId="0" applyFont="1" applyFill="1" applyBorder="1" applyAlignment="1">
      <alignment horizontal="center"/>
    </xf>
    <xf numFmtId="3" fontId="0" fillId="0" borderId="0" xfId="0" applyNumberFormat="1" applyFill="1" applyAlignment="1"/>
    <xf numFmtId="3" fontId="41" fillId="2" borderId="0" xfId="7" applyAlignment="1">
      <alignment horizontal="left" vertical="center"/>
      <protection locked="0"/>
    </xf>
    <xf numFmtId="169" fontId="41" fillId="4" borderId="10" xfId="5" applyNumberFormat="1" applyBorder="1">
      <alignment horizontal="right" vertical="center"/>
    </xf>
    <xf numFmtId="0" fontId="56" fillId="6" borderId="9" xfId="8" applyNumberFormat="1" applyFont="1" applyBorder="1" applyAlignment="1">
      <alignment horizontal="left"/>
    </xf>
    <xf numFmtId="0" fontId="37" fillId="6" borderId="5" xfId="8" applyNumberFormat="1" applyFont="1" applyBorder="1" applyAlignment="1">
      <alignment horizontal="center" vertical="center" wrapText="1"/>
    </xf>
    <xf numFmtId="0" fontId="43" fillId="0" borderId="0" xfId="8" applyNumberFormat="1" applyFont="1" applyFill="1" applyBorder="1" applyAlignment="1">
      <alignment horizontal="center"/>
    </xf>
    <xf numFmtId="3" fontId="41" fillId="0" borderId="0" xfId="5" applyFill="1" applyBorder="1" applyProtection="1">
      <alignment horizontal="right" vertical="center"/>
      <protection locked="0"/>
    </xf>
    <xf numFmtId="3" fontId="41" fillId="0" borderId="0" xfId="7" applyFill="1" applyBorder="1">
      <alignment horizontal="right" vertical="center"/>
      <protection locked="0"/>
    </xf>
    <xf numFmtId="4" fontId="12" fillId="6" borderId="5" xfId="8" applyNumberFormat="1" applyFont="1" applyBorder="1" applyAlignment="1">
      <alignment horizontal="centerContinuous" vertical="center" wrapText="1"/>
    </xf>
    <xf numFmtId="3" fontId="41" fillId="4" borderId="2" xfId="5" applyBorder="1">
      <alignment horizontal="right" vertical="center"/>
    </xf>
    <xf numFmtId="0" fontId="79" fillId="0" borderId="0" xfId="0" applyFont="1"/>
    <xf numFmtId="0" fontId="80" fillId="5" borderId="1" xfId="6" applyFont="1" applyBorder="1" applyAlignment="1">
      <alignment horizontal="center"/>
    </xf>
    <xf numFmtId="0" fontId="80" fillId="0" borderId="0" xfId="0" applyFont="1"/>
    <xf numFmtId="3" fontId="41" fillId="4" borderId="11" xfId="5" applyBorder="1" applyProtection="1">
      <alignment horizontal="right" vertical="center"/>
    </xf>
    <xf numFmtId="3" fontId="41" fillId="4" borderId="8" xfId="5" applyBorder="1" applyProtection="1">
      <alignment horizontal="right" vertical="center"/>
    </xf>
    <xf numFmtId="3" fontId="41" fillId="4" borderId="10" xfId="5" applyBorder="1" applyProtection="1">
      <alignment horizontal="right" vertical="center"/>
    </xf>
    <xf numFmtId="3" fontId="41" fillId="4" borderId="5" xfId="5" applyBorder="1" applyProtection="1">
      <alignment horizontal="right" vertical="center"/>
    </xf>
    <xf numFmtId="166" fontId="41" fillId="4" borderId="5" xfId="12" applyNumberFormat="1" applyFont="1" applyFill="1" applyBorder="1" applyAlignment="1" applyProtection="1">
      <alignment horizontal="right" vertical="center"/>
    </xf>
    <xf numFmtId="164" fontId="37" fillId="0" borderId="0" xfId="1" applyFont="1" applyProtection="1"/>
    <xf numFmtId="3" fontId="41" fillId="4" borderId="11" xfId="5" applyBorder="1" applyAlignment="1" applyProtection="1">
      <alignment horizontal="center" vertical="center"/>
    </xf>
    <xf numFmtId="164" fontId="29" fillId="4" borderId="11" xfId="1" applyFont="1" applyFill="1" applyBorder="1" applyAlignment="1" applyProtection="1">
      <alignment horizontal="center"/>
    </xf>
    <xf numFmtId="3" fontId="41" fillId="12" borderId="10" xfId="11" quotePrefix="1" applyNumberFormat="1" applyFont="1" applyBorder="1" applyAlignment="1" applyProtection="1">
      <alignment horizontal="right" wrapText="1"/>
    </xf>
    <xf numFmtId="3" fontId="41" fillId="12" borderId="5" xfId="11" applyNumberFormat="1" applyFont="1" applyBorder="1" applyAlignment="1" applyProtection="1">
      <alignment horizontal="right" vertical="center"/>
    </xf>
    <xf numFmtId="3" fontId="41" fillId="12" borderId="10" xfId="11" applyNumberFormat="1" applyFont="1" applyBorder="1" applyAlignment="1" applyProtection="1">
      <alignment horizontal="right"/>
    </xf>
    <xf numFmtId="9" fontId="41" fillId="4" borderId="5" xfId="12" applyFont="1" applyFill="1" applyBorder="1" applyAlignment="1" applyProtection="1">
      <alignment horizontal="center" vertical="center"/>
    </xf>
    <xf numFmtId="3" fontId="41" fillId="4" borderId="9" xfId="5" applyBorder="1" applyProtection="1">
      <alignment horizontal="right" vertical="center"/>
    </xf>
    <xf numFmtId="3" fontId="41" fillId="4" borderId="3" xfId="5" applyBorder="1" applyProtection="1">
      <alignment horizontal="right" vertical="center"/>
    </xf>
    <xf numFmtId="3" fontId="41" fillId="4" borderId="7" xfId="5" applyBorder="1" applyProtection="1">
      <alignment horizontal="right" vertical="center"/>
    </xf>
    <xf numFmtId="3" fontId="41" fillId="4" borderId="42" xfId="5" applyBorder="1" applyProtection="1">
      <alignment horizontal="right" vertical="center"/>
    </xf>
    <xf numFmtId="3" fontId="41" fillId="4" borderId="22" xfId="5" applyBorder="1" applyProtection="1">
      <alignment horizontal="right" vertical="center"/>
    </xf>
    <xf numFmtId="3" fontId="41" fillId="4" borderId="41" xfId="5" applyBorder="1" applyProtection="1">
      <alignment horizontal="right" vertical="center"/>
    </xf>
    <xf numFmtId="3" fontId="41" fillId="4" borderId="45" xfId="5" applyBorder="1" applyProtection="1">
      <alignment horizontal="right" vertical="center"/>
    </xf>
    <xf numFmtId="3" fontId="41" fillId="4" borderId="16" xfId="5" applyBorder="1" applyProtection="1">
      <alignment horizontal="right" vertical="center"/>
    </xf>
    <xf numFmtId="166" fontId="41" fillId="24" borderId="10" xfId="12" applyNumberFormat="1" applyFont="1" applyFill="1" applyBorder="1" applyAlignment="1" applyProtection="1"/>
    <xf numFmtId="166" fontId="41" fillId="29" borderId="18" xfId="12" applyNumberFormat="1" applyFont="1" applyFill="1" applyBorder="1" applyAlignment="1" applyProtection="1">
      <alignment horizontal="center"/>
    </xf>
    <xf numFmtId="0" fontId="37" fillId="6" borderId="11" xfId="8" applyNumberFormat="1" applyFont="1" applyBorder="1" applyAlignment="1">
      <alignment horizontal="center" vertical="center" wrapText="1"/>
    </xf>
    <xf numFmtId="170" fontId="5" fillId="24" borderId="0" xfId="0" applyNumberFormat="1" applyFont="1" applyFill="1" applyBorder="1" applyProtection="1"/>
    <xf numFmtId="0" fontId="81" fillId="17" borderId="7" xfId="0" applyFont="1" applyFill="1" applyBorder="1" applyAlignment="1" applyProtection="1">
      <alignment horizontal="left" indent="1"/>
    </xf>
    <xf numFmtId="0" fontId="37" fillId="6" borderId="11" xfId="8" applyNumberFormat="1" applyFont="1" applyBorder="1" applyAlignment="1">
      <alignment vertical="center"/>
    </xf>
    <xf numFmtId="0" fontId="11" fillId="5" borderId="12" xfId="6" applyFont="1" applyBorder="1" applyAlignment="1">
      <alignment wrapText="1"/>
    </xf>
    <xf numFmtId="0" fontId="20" fillId="5" borderId="12" xfId="6" applyFont="1" applyBorder="1" applyAlignment="1">
      <alignment wrapText="1"/>
    </xf>
    <xf numFmtId="0" fontId="37" fillId="5" borderId="12" xfId="6" applyFont="1" applyBorder="1" applyAlignment="1">
      <alignment wrapText="1"/>
    </xf>
    <xf numFmtId="0" fontId="22" fillId="5" borderId="1" xfId="6" applyFont="1" applyBorder="1" applyAlignment="1">
      <alignment horizontal="center" wrapText="1"/>
    </xf>
    <xf numFmtId="0" fontId="47" fillId="5" borderId="1" xfId="6" applyFont="1" applyBorder="1" applyAlignment="1">
      <alignment wrapText="1"/>
    </xf>
    <xf numFmtId="0" fontId="37" fillId="5" borderId="1" xfId="6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3" fontId="41" fillId="2" borderId="11" xfId="7" applyBorder="1" applyAlignment="1">
      <alignment horizontal="right" vertical="center" wrapText="1"/>
      <protection locked="0"/>
    </xf>
    <xf numFmtId="3" fontId="41" fillId="2" borderId="8" xfId="7" applyBorder="1" applyAlignment="1">
      <alignment horizontal="right" vertical="center" wrapText="1"/>
      <protection locked="0"/>
    </xf>
    <xf numFmtId="3" fontId="41" fillId="2" borderId="10" xfId="7" applyBorder="1" applyAlignment="1">
      <alignment horizontal="right" vertical="center" wrapText="1"/>
      <protection locked="0"/>
    </xf>
    <xf numFmtId="0" fontId="55" fillId="24" borderId="2" xfId="0" applyFont="1" applyFill="1" applyBorder="1" applyAlignment="1">
      <alignment horizontal="center" vertical="center"/>
    </xf>
    <xf numFmtId="0" fontId="55" fillId="24" borderId="4" xfId="0" applyFont="1" applyFill="1" applyBorder="1" applyAlignment="1">
      <alignment horizontal="center" vertical="center" wrapText="1"/>
    </xf>
    <xf numFmtId="0" fontId="55" fillId="24" borderId="4" xfId="0" applyFont="1" applyFill="1" applyBorder="1" applyAlignment="1">
      <alignment horizontal="center" vertical="center"/>
    </xf>
    <xf numFmtId="0" fontId="55" fillId="24" borderId="6" xfId="0" applyFont="1" applyFill="1" applyBorder="1" applyAlignment="1">
      <alignment horizontal="center" vertical="center"/>
    </xf>
    <xf numFmtId="0" fontId="37" fillId="6" borderId="11" xfId="8" applyNumberFormat="1" applyFont="1" applyBorder="1" applyAlignment="1">
      <alignment horizontal="center" vertical="center" wrapText="1"/>
    </xf>
    <xf numFmtId="0" fontId="80" fillId="5" borderId="1" xfId="6" applyFont="1" applyBorder="1" applyAlignment="1">
      <alignment horizontal="right"/>
    </xf>
    <xf numFmtId="3" fontId="41" fillId="24" borderId="10" xfId="5" applyFill="1" applyBorder="1" applyProtection="1">
      <alignment horizontal="right" vertical="center"/>
    </xf>
    <xf numFmtId="0" fontId="56" fillId="6" borderId="9" xfId="8" applyNumberFormat="1" applyFont="1" applyBorder="1" applyAlignment="1">
      <alignment horizontal="left"/>
    </xf>
    <xf numFmtId="0" fontId="0" fillId="6" borderId="2" xfId="8" applyNumberFormat="1" applyFont="1" applyBorder="1" applyAlignment="1">
      <alignment horizontal="centerContinuous"/>
    </xf>
    <xf numFmtId="3" fontId="41" fillId="2" borderId="5" xfId="7" applyBorder="1" applyAlignment="1">
      <alignment horizontal="center" vertical="center"/>
      <protection locked="0"/>
    </xf>
    <xf numFmtId="3" fontId="41" fillId="2" borderId="24" xfId="7" quotePrefix="1" applyBorder="1" applyAlignment="1">
      <alignment horizontal="left" vertical="center"/>
      <protection locked="0"/>
    </xf>
    <xf numFmtId="3" fontId="41" fillId="2" borderId="12" xfId="7" applyBorder="1" applyAlignment="1">
      <alignment horizontal="left" vertical="center"/>
      <protection locked="0"/>
    </xf>
    <xf numFmtId="3" fontId="41" fillId="2" borderId="13" xfId="7" applyBorder="1" applyAlignment="1">
      <alignment horizontal="left" vertical="center"/>
      <protection locked="0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3" fontId="41" fillId="2" borderId="7" xfId="7" applyBorder="1" applyAlignment="1">
      <alignment horizontal="left" vertical="center"/>
      <protection locked="0"/>
    </xf>
    <xf numFmtId="3" fontId="41" fillId="2" borderId="3" xfId="7" applyBorder="1" applyAlignment="1">
      <alignment horizontal="left" vertical="center"/>
      <protection locked="0"/>
    </xf>
    <xf numFmtId="0" fontId="82" fillId="18" borderId="24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4" xfId="0" applyBorder="1" applyAlignment="1">
      <alignment vertical="center"/>
    </xf>
    <xf numFmtId="0" fontId="45" fillId="6" borderId="2" xfId="8" applyNumberFormat="1" applyFont="1" applyBorder="1" applyAlignment="1">
      <alignment horizontal="center" vertical="center" wrapText="1"/>
    </xf>
    <xf numFmtId="0" fontId="45" fillId="6" borderId="4" xfId="8" applyNumberFormat="1" applyFont="1" applyBorder="1" applyAlignment="1">
      <alignment horizontal="center" vertical="center" wrapText="1"/>
    </xf>
    <xf numFmtId="0" fontId="45" fillId="6" borderId="6" xfId="8" applyNumberFormat="1" applyFont="1" applyBorder="1" applyAlignment="1">
      <alignment horizontal="center" vertical="center" wrapText="1"/>
    </xf>
    <xf numFmtId="0" fontId="63" fillId="6" borderId="11" xfId="8" applyNumberFormat="1" applyFont="1" applyBorder="1" applyAlignment="1">
      <alignment horizontal="center" vertical="center" wrapText="1"/>
    </xf>
    <xf numFmtId="0" fontId="63" fillId="6" borderId="10" xfId="8" applyNumberFormat="1" applyFont="1" applyBorder="1" applyAlignment="1">
      <alignment horizontal="center" vertical="center" wrapText="1"/>
    </xf>
    <xf numFmtId="0" fontId="66" fillId="6" borderId="11" xfId="8" applyNumberFormat="1" applyFont="1" applyBorder="1" applyAlignment="1">
      <alignment horizontal="center" vertical="center" wrapText="1"/>
    </xf>
    <xf numFmtId="0" fontId="66" fillId="6" borderId="10" xfId="8" applyNumberFormat="1" applyFont="1" applyBorder="1" applyAlignment="1">
      <alignment horizontal="center" vertical="center" wrapText="1"/>
    </xf>
    <xf numFmtId="0" fontId="66" fillId="6" borderId="24" xfId="8" applyNumberFormat="1" applyFont="1" applyBorder="1" applyAlignment="1">
      <alignment horizontal="center" vertical="center" wrapText="1"/>
    </xf>
    <xf numFmtId="0" fontId="37" fillId="6" borderId="13" xfId="8" applyNumberFormat="1" applyFont="1" applyBorder="1" applyAlignment="1">
      <alignment horizontal="center" vertical="center" wrapText="1"/>
    </xf>
    <xf numFmtId="0" fontId="66" fillId="6" borderId="9" xfId="8" applyNumberFormat="1" applyFont="1" applyBorder="1" applyAlignment="1">
      <alignment horizontal="center" vertical="center" wrapText="1"/>
    </xf>
    <xf numFmtId="0" fontId="37" fillId="6" borderId="14" xfId="8" applyNumberFormat="1" applyFont="1" applyBorder="1" applyAlignment="1">
      <alignment horizontal="center" vertical="center" wrapText="1"/>
    </xf>
    <xf numFmtId="0" fontId="63" fillId="6" borderId="24" xfId="8" applyNumberFormat="1" applyFont="1" applyBorder="1" applyAlignment="1">
      <alignment horizontal="center" vertical="center" wrapText="1"/>
    </xf>
    <xf numFmtId="0" fontId="37" fillId="6" borderId="9" xfId="8" applyNumberFormat="1" applyFont="1" applyBorder="1" applyAlignment="1">
      <alignment horizontal="center" vertical="center" wrapText="1"/>
    </xf>
    <xf numFmtId="0" fontId="1" fillId="3" borderId="24" xfId="4" applyBorder="1"/>
    <xf numFmtId="0" fontId="1" fillId="3" borderId="13" xfId="4" applyBorder="1"/>
    <xf numFmtId="0" fontId="1" fillId="3" borderId="9" xfId="4" applyBorder="1"/>
    <xf numFmtId="0" fontId="1" fillId="3" borderId="14" xfId="4" applyBorder="1"/>
    <xf numFmtId="0" fontId="62" fillId="6" borderId="8" xfId="8" applyNumberFormat="1" applyFont="1" applyBorder="1" applyAlignment="1">
      <alignment horizontal="center" vertical="center" wrapText="1"/>
    </xf>
    <xf numFmtId="0" fontId="62" fillId="6" borderId="10" xfId="8" applyNumberFormat="1" applyFont="1" applyBorder="1" applyAlignment="1">
      <alignment horizontal="center" vertical="center" wrapText="1"/>
    </xf>
    <xf numFmtId="0" fontId="69" fillId="6" borderId="2" xfId="8" applyNumberFormat="1" applyFont="1" applyBorder="1" applyAlignment="1">
      <alignment horizontal="center" vertical="center" wrapText="1"/>
    </xf>
    <xf numFmtId="0" fontId="69" fillId="6" borderId="6" xfId="8" applyNumberFormat="1" applyFont="1" applyBorder="1" applyAlignment="1">
      <alignment horizontal="center" vertical="center" wrapText="1"/>
    </xf>
    <xf numFmtId="0" fontId="61" fillId="8" borderId="12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3" fillId="31" borderId="11" xfId="0" applyFont="1" applyFill="1" applyBorder="1" applyAlignment="1">
      <alignment horizontal="center" vertical="center" textRotation="90"/>
    </xf>
    <xf numFmtId="0" fontId="43" fillId="31" borderId="8" xfId="0" applyFont="1" applyFill="1" applyBorder="1" applyAlignment="1">
      <alignment horizontal="center" vertical="center" textRotation="90"/>
    </xf>
    <xf numFmtId="0" fontId="43" fillId="31" borderId="10" xfId="0" applyFont="1" applyFill="1" applyBorder="1" applyAlignment="1">
      <alignment horizontal="center" vertical="center" textRotation="90"/>
    </xf>
    <xf numFmtId="0" fontId="43" fillId="31" borderId="11" xfId="0" applyFont="1" applyFill="1" applyBorder="1" applyAlignment="1">
      <alignment horizontal="center" vertical="center" textRotation="90" wrapText="1"/>
    </xf>
    <xf numFmtId="0" fontId="43" fillId="31" borderId="8" xfId="0" applyFont="1" applyFill="1" applyBorder="1" applyAlignment="1">
      <alignment horizontal="center" vertical="center" textRotation="90" wrapText="1"/>
    </xf>
    <xf numFmtId="0" fontId="43" fillId="31" borderId="10" xfId="0" applyFont="1" applyFill="1" applyBorder="1" applyAlignment="1">
      <alignment horizontal="center" vertical="center" textRotation="90" wrapText="1"/>
    </xf>
    <xf numFmtId="0" fontId="63" fillId="6" borderId="8" xfId="8" applyNumberFormat="1" applyFont="1" applyBorder="1" applyAlignment="1">
      <alignment horizontal="center" vertical="center" wrapText="1"/>
    </xf>
    <xf numFmtId="0" fontId="47" fillId="31" borderId="11" xfId="0" applyFont="1" applyFill="1" applyBorder="1" applyAlignment="1">
      <alignment horizontal="center" vertical="center" wrapText="1"/>
    </xf>
    <xf numFmtId="0" fontId="47" fillId="31" borderId="10" xfId="0" applyFont="1" applyFill="1" applyBorder="1" applyAlignment="1">
      <alignment horizontal="center" vertical="center" wrapText="1"/>
    </xf>
    <xf numFmtId="0" fontId="37" fillId="6" borderId="5" xfId="8" applyNumberFormat="1" applyFont="1" applyBorder="1" applyAlignment="1">
      <alignment horizontal="center" vertical="center" wrapText="1"/>
    </xf>
    <xf numFmtId="0" fontId="69" fillId="6" borderId="4" xfId="8" applyNumberFormat="1" applyFont="1" applyBorder="1" applyAlignment="1">
      <alignment horizontal="center" vertical="center" wrapText="1"/>
    </xf>
    <xf numFmtId="0" fontId="0" fillId="31" borderId="2" xfId="0" applyFill="1" applyBorder="1" applyAlignment="1">
      <alignment horizontal="center"/>
    </xf>
    <xf numFmtId="0" fontId="0" fillId="31" borderId="6" xfId="0" applyFill="1" applyBorder="1" applyAlignment="1">
      <alignment horizontal="center"/>
    </xf>
    <xf numFmtId="0" fontId="0" fillId="31" borderId="11" xfId="0" applyFill="1" applyBorder="1" applyAlignment="1">
      <alignment horizontal="center" vertical="center" wrapText="1"/>
    </xf>
    <xf numFmtId="0" fontId="0" fillId="31" borderId="10" xfId="0" applyFill="1" applyBorder="1" applyAlignment="1">
      <alignment horizontal="center" vertical="center" wrapText="1"/>
    </xf>
    <xf numFmtId="0" fontId="69" fillId="6" borderId="24" xfId="8" applyNumberFormat="1" applyFont="1" applyBorder="1" applyAlignment="1">
      <alignment horizontal="center" vertical="center" wrapText="1"/>
    </xf>
    <xf numFmtId="0" fontId="69" fillId="6" borderId="13" xfId="8" applyNumberFormat="1" applyFont="1" applyBorder="1" applyAlignment="1">
      <alignment horizontal="center" vertical="center" wrapText="1"/>
    </xf>
    <xf numFmtId="0" fontId="0" fillId="31" borderId="11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5" fontId="62" fillId="31" borderId="11" xfId="0" applyNumberFormat="1" applyFont="1" applyFill="1" applyBorder="1" applyAlignment="1">
      <alignment horizontal="center" vertical="center"/>
    </xf>
    <xf numFmtId="165" fontId="45" fillId="31" borderId="5" xfId="0" applyNumberFormat="1" applyFont="1" applyFill="1" applyBorder="1" applyAlignment="1">
      <alignment horizontal="center" vertical="center"/>
    </xf>
    <xf numFmtId="0" fontId="0" fillId="0" borderId="5" xfId="0" applyBorder="1" applyAlignment="1"/>
    <xf numFmtId="165" fontId="62" fillId="31" borderId="11" xfId="0" applyNumberFormat="1" applyFont="1" applyFill="1" applyBorder="1" applyAlignment="1">
      <alignment horizontal="center" vertical="center" wrapText="1"/>
    </xf>
    <xf numFmtId="0" fontId="39" fillId="21" borderId="11" xfId="0" quotePrefix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3" fontId="41" fillId="2" borderId="9" xfId="7" applyBorder="1" applyAlignment="1">
      <alignment horizontal="left" vertical="center"/>
      <protection locked="0"/>
    </xf>
    <xf numFmtId="3" fontId="41" fillId="2" borderId="14" xfId="7" applyBorder="1" applyAlignment="1">
      <alignment horizontal="left" vertical="center"/>
      <protection locked="0"/>
    </xf>
    <xf numFmtId="0" fontId="1" fillId="3" borderId="2" xfId="4" applyBorder="1"/>
    <xf numFmtId="0" fontId="1" fillId="3" borderId="6" xfId="4" applyBorder="1"/>
    <xf numFmtId="0" fontId="45" fillId="0" borderId="11" xfId="0" applyFont="1" applyBorder="1" applyAlignment="1">
      <alignment horizontal="left" vertical="center" wrapText="1"/>
    </xf>
    <xf numFmtId="0" fontId="45" fillId="0" borderId="10" xfId="0" applyFont="1" applyBorder="1" applyAlignment="1">
      <alignment horizontal="left" vertical="center" wrapText="1"/>
    </xf>
    <xf numFmtId="0" fontId="12" fillId="6" borderId="11" xfId="8" applyNumberFormat="1" applyFont="1" applyBorder="1" applyAlignment="1">
      <alignment horizontal="center" vertical="center" wrapText="1"/>
    </xf>
    <xf numFmtId="0" fontId="12" fillId="6" borderId="10" xfId="8" applyNumberFormat="1" applyFont="1" applyBorder="1" applyAlignment="1">
      <alignment horizontal="center" vertical="center" wrapText="1"/>
    </xf>
    <xf numFmtId="3" fontId="19" fillId="5" borderId="11" xfId="0" applyNumberFormat="1" applyFont="1" applyFill="1" applyBorder="1" applyAlignment="1">
      <alignment horizontal="center" vertical="center"/>
    </xf>
    <xf numFmtId="3" fontId="19" fillId="5" borderId="10" xfId="0" applyNumberFormat="1" applyFont="1" applyFill="1" applyBorder="1" applyAlignment="1">
      <alignment horizontal="center" vertical="center"/>
    </xf>
    <xf numFmtId="4" fontId="12" fillId="6" borderId="24" xfId="8" applyNumberFormat="1" applyFont="1" applyBorder="1" applyAlignment="1">
      <alignment horizontal="center" vertical="center" wrapText="1"/>
    </xf>
    <xf numFmtId="4" fontId="12" fillId="6" borderId="9" xfId="8" applyNumberFormat="1" applyFont="1" applyBorder="1" applyAlignment="1">
      <alignment horizontal="center" vertical="center" wrapText="1"/>
    </xf>
    <xf numFmtId="4" fontId="12" fillId="6" borderId="11" xfId="8" applyNumberFormat="1" applyFont="1" applyBorder="1" applyAlignment="1">
      <alignment horizontal="center" vertical="center" wrapText="1"/>
    </xf>
    <xf numFmtId="4" fontId="12" fillId="6" borderId="10" xfId="8" applyNumberFormat="1" applyFont="1" applyBorder="1" applyAlignment="1">
      <alignment horizontal="center" vertical="center" wrapText="1"/>
    </xf>
    <xf numFmtId="0" fontId="83" fillId="18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8" fontId="41" fillId="15" borderId="24" xfId="1" applyNumberFormat="1" applyFont="1" applyFill="1" applyBorder="1" applyAlignment="1">
      <alignment horizontal="center" vertical="center"/>
    </xf>
    <xf numFmtId="168" fontId="0" fillId="0" borderId="13" xfId="0" applyNumberFormat="1" applyFont="1" applyBorder="1" applyAlignment="1">
      <alignment horizontal="center" vertical="center"/>
    </xf>
    <xf numFmtId="3" fontId="41" fillId="4" borderId="9" xfId="5" applyBorder="1">
      <alignment horizontal="right" vertical="center"/>
    </xf>
    <xf numFmtId="3" fontId="41" fillId="4" borderId="14" xfId="5" applyBorder="1">
      <alignment horizontal="right" vertical="center"/>
    </xf>
    <xf numFmtId="164" fontId="41" fillId="14" borderId="9" xfId="1" applyFont="1" applyFill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7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3" fontId="41" fillId="4" borderId="2" xfId="5" applyBorder="1">
      <alignment horizontal="right" vertical="center"/>
    </xf>
    <xf numFmtId="3" fontId="41" fillId="4" borderId="6" xfId="5" applyBorder="1">
      <alignment horizontal="right" vertical="center"/>
    </xf>
    <xf numFmtId="0" fontId="0" fillId="0" borderId="24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41" fillId="6" borderId="24" xfId="8" applyNumberFormat="1" applyFont="1" applyBorder="1" applyAlignment="1">
      <alignment horizontal="center" vertical="center" wrapText="1"/>
    </xf>
    <xf numFmtId="0" fontId="37" fillId="6" borderId="7" xfId="8" applyNumberFormat="1" applyFont="1" applyBorder="1" applyAlignment="1">
      <alignment horizontal="center" vertical="center" wrapText="1"/>
    </xf>
    <xf numFmtId="0" fontId="37" fillId="6" borderId="3" xfId="8" applyNumberFormat="1" applyFont="1" applyBorder="1" applyAlignment="1">
      <alignment horizontal="center" vertical="center" wrapText="1"/>
    </xf>
    <xf numFmtId="0" fontId="37" fillId="6" borderId="24" xfId="8" applyNumberFormat="1" applyFont="1" applyBorder="1" applyAlignment="1">
      <alignment vertical="center"/>
    </xf>
    <xf numFmtId="0" fontId="37" fillId="6" borderId="13" xfId="8" applyNumberFormat="1" applyFont="1" applyBorder="1" applyAlignment="1">
      <alignment vertical="center"/>
    </xf>
    <xf numFmtId="0" fontId="37" fillId="6" borderId="9" xfId="8" applyNumberFormat="1" applyFont="1" applyBorder="1" applyAlignment="1">
      <alignment vertical="center"/>
    </xf>
    <xf numFmtId="0" fontId="37" fillId="6" borderId="14" xfId="8" applyNumberFormat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9" fillId="18" borderId="11" xfId="0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37" fillId="6" borderId="11" xfId="8" applyNumberFormat="1" applyFont="1" applyBorder="1" applyAlignment="1">
      <alignment horizontal="center" vertical="center"/>
    </xf>
    <xf numFmtId="0" fontId="37" fillId="6" borderId="10" xfId="8" applyNumberFormat="1" applyFont="1" applyBorder="1" applyAlignment="1">
      <alignment horizontal="center" vertical="center"/>
    </xf>
    <xf numFmtId="0" fontId="41" fillId="28" borderId="31" xfId="0" applyFont="1" applyFill="1" applyBorder="1" applyAlignment="1">
      <alignment vertical="center" wrapText="1"/>
    </xf>
    <xf numFmtId="0" fontId="41" fillId="28" borderId="20" xfId="0" applyFont="1" applyFill="1" applyBorder="1" applyAlignment="1">
      <alignment vertical="center" wrapText="1"/>
    </xf>
    <xf numFmtId="0" fontId="41" fillId="28" borderId="31" xfId="0" applyFont="1" applyFill="1" applyBorder="1" applyAlignment="1">
      <alignment horizontal="justify" vertical="center" wrapText="1"/>
    </xf>
    <xf numFmtId="0" fontId="41" fillId="28" borderId="20" xfId="0" applyFont="1" applyFill="1" applyBorder="1" applyAlignment="1">
      <alignment horizontal="justify" vertical="center" wrapText="1"/>
    </xf>
    <xf numFmtId="0" fontId="39" fillId="18" borderId="24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39" fillId="21" borderId="24" xfId="0" quotePrefix="1" applyFont="1" applyFill="1" applyBorder="1" applyAlignment="1">
      <alignment horizontal="center"/>
    </xf>
    <xf numFmtId="0" fontId="0" fillId="0" borderId="13" xfId="0" applyBorder="1" applyAlignment="1"/>
    <xf numFmtId="0" fontId="55" fillId="6" borderId="2" xfId="8" applyNumberFormat="1" applyFont="1" applyBorder="1" applyAlignment="1">
      <alignment horizontal="center"/>
    </xf>
    <xf numFmtId="0" fontId="37" fillId="6" borderId="6" xfId="8" applyNumberFormat="1" applyFont="1" applyBorder="1" applyAlignment="1"/>
    <xf numFmtId="0" fontId="37" fillId="6" borderId="6" xfId="8" applyNumberFormat="1" applyFont="1" applyBorder="1" applyAlignment="1">
      <alignment horizontal="center"/>
    </xf>
    <xf numFmtId="0" fontId="43" fillId="6" borderId="7" xfId="8" applyNumberFormat="1" applyFont="1" applyBorder="1" applyAlignment="1">
      <alignment horizontal="center"/>
    </xf>
    <xf numFmtId="0" fontId="37" fillId="6" borderId="3" xfId="8" applyNumberFormat="1" applyFont="1" applyBorder="1" applyAlignment="1">
      <alignment horizontal="center"/>
    </xf>
    <xf numFmtId="0" fontId="67" fillId="6" borderId="24" xfId="8" applyNumberFormat="1" applyFont="1" applyBorder="1" applyAlignment="1"/>
    <xf numFmtId="0" fontId="37" fillId="6" borderId="13" xfId="8" applyNumberFormat="1" applyFont="1" applyBorder="1" applyAlignment="1"/>
    <xf numFmtId="0" fontId="41" fillId="6" borderId="7" xfId="8" applyNumberFormat="1" applyFont="1" applyBorder="1" applyAlignment="1"/>
    <xf numFmtId="0" fontId="37" fillId="6" borderId="3" xfId="8" applyNumberFormat="1" applyFont="1" applyBorder="1" applyAlignment="1"/>
    <xf numFmtId="3" fontId="41" fillId="4" borderId="2" xfId="5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56" fillId="6" borderId="7" xfId="8" applyNumberFormat="1" applyFont="1" applyBorder="1" applyAlignment="1">
      <alignment horizontal="left"/>
    </xf>
    <xf numFmtId="0" fontId="37" fillId="6" borderId="3" xfId="8" applyNumberFormat="1" applyFont="1" applyBorder="1" applyAlignment="1">
      <alignment horizontal="left"/>
    </xf>
    <xf numFmtId="0" fontId="56" fillId="6" borderId="9" xfId="8" applyNumberFormat="1" applyFont="1" applyBorder="1" applyAlignment="1">
      <alignment horizontal="left"/>
    </xf>
    <xf numFmtId="0" fontId="37" fillId="6" borderId="14" xfId="8" applyNumberFormat="1" applyFont="1" applyBorder="1" applyAlignment="1">
      <alignment horizontal="left"/>
    </xf>
    <xf numFmtId="0" fontId="67" fillId="6" borderId="24" xfId="8" applyNumberFormat="1" applyFont="1" applyBorder="1" applyAlignment="1">
      <alignment horizontal="left" indent="1"/>
    </xf>
    <xf numFmtId="0" fontId="37" fillId="6" borderId="13" xfId="8" applyNumberFormat="1" applyFont="1" applyBorder="1" applyAlignment="1">
      <alignment horizontal="left" indent="1"/>
    </xf>
    <xf numFmtId="0" fontId="56" fillId="6" borderId="7" xfId="8" applyNumberFormat="1" applyFont="1" applyBorder="1" applyAlignment="1">
      <alignment horizontal="left" indent="2"/>
    </xf>
    <xf numFmtId="0" fontId="37" fillId="6" borderId="3" xfId="8" applyNumberFormat="1" applyFont="1" applyBorder="1" applyAlignment="1">
      <alignment horizontal="left" indent="2"/>
    </xf>
    <xf numFmtId="0" fontId="56" fillId="6" borderId="9" xfId="8" applyNumberFormat="1" applyFont="1" applyBorder="1" applyAlignment="1">
      <alignment horizontal="left" indent="2"/>
    </xf>
    <xf numFmtId="0" fontId="37" fillId="6" borderId="14" xfId="8" applyNumberFormat="1" applyFont="1" applyBorder="1" applyAlignment="1">
      <alignment horizontal="left" indent="2"/>
    </xf>
    <xf numFmtId="0" fontId="67" fillId="6" borderId="2" xfId="8" applyNumberFormat="1" applyFont="1" applyBorder="1" applyAlignment="1"/>
    <xf numFmtId="0" fontId="41" fillId="6" borderId="7" xfId="8" applyNumberFormat="1" applyFont="1" applyBorder="1" applyAlignment="1">
      <alignment horizontal="left"/>
    </xf>
    <xf numFmtId="0" fontId="56" fillId="6" borderId="7" xfId="8" applyNumberFormat="1" applyFont="1" applyBorder="1" applyAlignment="1">
      <alignment horizontal="right"/>
    </xf>
    <xf numFmtId="0" fontId="56" fillId="6" borderId="7" xfId="8" applyNumberFormat="1" applyFont="1" applyBorder="1" applyAlignment="1"/>
    <xf numFmtId="0" fontId="56" fillId="6" borderId="9" xfId="8" applyNumberFormat="1" applyFont="1" applyBorder="1" applyAlignment="1"/>
    <xf numFmtId="0" fontId="37" fillId="6" borderId="14" xfId="8" applyNumberFormat="1" applyFont="1" applyBorder="1" applyAlignment="1"/>
    <xf numFmtId="0" fontId="39" fillId="21" borderId="2" xfId="0" quotePrefix="1" applyFont="1" applyFill="1" applyBorder="1" applyAlignment="1">
      <alignment horizontal="center"/>
    </xf>
    <xf numFmtId="0" fontId="0" fillId="0" borderId="6" xfId="0" applyBorder="1" applyAlignment="1"/>
    <xf numFmtId="0" fontId="43" fillId="6" borderId="24" xfId="8" applyNumberFormat="1" applyFont="1" applyBorder="1" applyAlignment="1">
      <alignment horizontal="center"/>
    </xf>
    <xf numFmtId="0" fontId="37" fillId="6" borderId="13" xfId="8" applyNumberFormat="1" applyFont="1" applyBorder="1" applyAlignment="1">
      <alignment horizontal="center"/>
    </xf>
    <xf numFmtId="0" fontId="41" fillId="6" borderId="24" xfId="8" applyNumberFormat="1" applyFont="1" applyBorder="1" applyAlignment="1"/>
    <xf numFmtId="0" fontId="41" fillId="6" borderId="9" xfId="8" applyNumberFormat="1" applyFont="1" applyBorder="1" applyAlignment="1"/>
    <xf numFmtId="0" fontId="43" fillId="6" borderId="9" xfId="8" applyNumberFormat="1" applyFont="1" applyBorder="1" applyAlignment="1">
      <alignment horizontal="center"/>
    </xf>
    <xf numFmtId="0" fontId="37" fillId="6" borderId="14" xfId="8" applyNumberFormat="1" applyFont="1" applyBorder="1" applyAlignment="1">
      <alignment horizontal="center"/>
    </xf>
    <xf numFmtId="0" fontId="57" fillId="6" borderId="24" xfId="8" applyNumberFormat="1" applyFont="1" applyBorder="1" applyAlignment="1">
      <alignment horizontal="left" indent="1"/>
    </xf>
    <xf numFmtId="0" fontId="41" fillId="6" borderId="7" xfId="8" applyNumberFormat="1" applyFont="1" applyBorder="1" applyAlignment="1">
      <alignment horizontal="left" indent="1"/>
    </xf>
    <xf numFmtId="0" fontId="37" fillId="6" borderId="3" xfId="8" applyNumberFormat="1" applyFont="1" applyBorder="1" applyAlignment="1">
      <alignment horizontal="left" indent="1"/>
    </xf>
    <xf numFmtId="0" fontId="57" fillId="6" borderId="2" xfId="8" applyNumberFormat="1" applyFont="1" applyBorder="1" applyAlignment="1">
      <alignment horizontal="left" indent="1"/>
    </xf>
    <xf numFmtId="0" fontId="37" fillId="6" borderId="6" xfId="8" applyNumberFormat="1" applyFont="1" applyBorder="1" applyAlignment="1">
      <alignment horizontal="left" indent="1"/>
    </xf>
    <xf numFmtId="3" fontId="41" fillId="4" borderId="9" xfId="5" applyBorder="1" applyAlignment="1">
      <alignment horizontal="center" vertical="center"/>
    </xf>
    <xf numFmtId="3" fontId="41" fillId="4" borderId="14" xfId="5" applyBorder="1" applyAlignment="1">
      <alignment horizontal="center" vertical="center"/>
    </xf>
    <xf numFmtId="3" fontId="41" fillId="4" borderId="6" xfId="5" applyBorder="1" applyAlignment="1">
      <alignment horizontal="center" vertical="center"/>
    </xf>
    <xf numFmtId="0" fontId="37" fillId="6" borderId="11" xfId="8" applyNumberFormat="1" applyFont="1" applyBorder="1" applyAlignment="1">
      <alignment horizontal="center" vertical="center" wrapText="1"/>
    </xf>
    <xf numFmtId="0" fontId="37" fillId="6" borderId="10" xfId="8" applyNumberFormat="1" applyFont="1" applyBorder="1" applyAlignment="1">
      <alignment wrapText="1"/>
    </xf>
    <xf numFmtId="0" fontId="37" fillId="6" borderId="10" xfId="8" applyNumberFormat="1" applyFont="1" applyBorder="1" applyAlignment="1">
      <alignment horizontal="center" vertical="center" wrapText="1"/>
    </xf>
    <xf numFmtId="2" fontId="12" fillId="6" borderId="11" xfId="8" applyNumberFormat="1" applyFont="1" applyBorder="1" applyAlignment="1">
      <alignment horizontal="center" vertical="center" wrapText="1"/>
    </xf>
    <xf numFmtId="2" fontId="12" fillId="6" borderId="10" xfId="8" applyNumberFormat="1" applyFont="1" applyBorder="1" applyAlignment="1">
      <alignment horizontal="center" vertical="center" wrapText="1"/>
    </xf>
    <xf numFmtId="164" fontId="12" fillId="6" borderId="11" xfId="1" applyFont="1" applyFill="1" applyBorder="1" applyAlignment="1">
      <alignment horizontal="center" vertical="center" wrapText="1"/>
    </xf>
    <xf numFmtId="164" fontId="12" fillId="6" borderId="10" xfId="1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left" vertical="center"/>
    </xf>
    <xf numFmtId="0" fontId="2" fillId="6" borderId="10" xfId="0" applyFont="1" applyFill="1" applyBorder="1" applyAlignment="1">
      <alignment horizontal="left" vertical="center"/>
    </xf>
    <xf numFmtId="0" fontId="12" fillId="6" borderId="11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</cellXfs>
  <cellStyles count="13">
    <cellStyle name="Ezres" xfId="1" builtinId="3"/>
    <cellStyle name="Hivatkozás" xfId="2" builtinId="8"/>
    <cellStyle name="LTG_CF" xfId="3"/>
    <cellStyle name="LTG_Empty" xfId="4"/>
    <cellStyle name="LTG_Formula" xfId="5"/>
    <cellStyle name="LTG_Header" xfId="6"/>
    <cellStyle name="LTG_Input" xfId="7"/>
    <cellStyle name="LTG_Label" xfId="8"/>
    <cellStyle name="LTG_NotRequired" xfId="9"/>
    <cellStyle name="LTG_Result" xfId="10"/>
    <cellStyle name="LTG_Shared" xfId="11"/>
    <cellStyle name="Normál" xfId="0" builtinId="0"/>
    <cellStyle name="Százalék" xfId="12" builtinId="5"/>
  </cellStyles>
  <dxfs count="37"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 val="0"/>
        <color theme="0" tint="-0.34998626667073579"/>
      </font>
      <numFmt numFmtId="0" formatCode="General"/>
      <fill>
        <patternFill>
          <bgColor theme="0" tint="-0.34998626667073579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b val="0"/>
        <i val="0"/>
        <color theme="0" tint="-0.34998626667073579"/>
      </font>
      <numFmt numFmtId="0" formatCode="General"/>
      <fill>
        <patternFill>
          <bgColor theme="0" tint="-0.34998626667073579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0" tint="-0.249977111117893"/>
  </sheetPr>
  <dimension ref="A1:S35"/>
  <sheetViews>
    <sheetView topLeftCell="C1" workbookViewId="0">
      <selection activeCell="L23" sqref="L23"/>
    </sheetView>
  </sheetViews>
  <sheetFormatPr defaultColWidth="11.42578125" defaultRowHeight="15" outlineLevelCol="1" x14ac:dyDescent="0.25"/>
  <cols>
    <col min="1" max="1" width="9.140625" style="54" hidden="1" customWidth="1" outlineLevel="1"/>
    <col min="2" max="2" width="5" style="54" hidden="1" customWidth="1" outlineLevel="1"/>
    <col min="3" max="3" width="4" style="54" customWidth="1" collapsed="1"/>
    <col min="4" max="4" width="28.28515625" style="54" customWidth="1"/>
    <col min="5" max="5" width="9.140625" style="54" customWidth="1"/>
    <col min="6" max="6" width="31.5703125" style="54" customWidth="1"/>
    <col min="7" max="7" width="11.140625" style="54" customWidth="1"/>
    <col min="8" max="8" width="9.42578125" style="54" customWidth="1"/>
    <col min="9" max="9" width="4.85546875" style="54" customWidth="1"/>
    <col min="10" max="10" width="1.85546875" style="54" bestFit="1" customWidth="1"/>
    <col min="11" max="12" width="11.42578125" style="150"/>
    <col min="13" max="16384" width="11.42578125" style="54"/>
  </cols>
  <sheetData>
    <row r="1" spans="1:12" ht="15.75" x14ac:dyDescent="0.25">
      <c r="C1" s="493" t="str">
        <f>Participant!$A$1</f>
        <v>&lt;Participant's name&gt;</v>
      </c>
      <c r="D1" s="481"/>
      <c r="E1" s="482"/>
      <c r="F1" s="482"/>
      <c r="G1" s="483"/>
      <c r="H1" s="484"/>
      <c r="I1" s="485" t="str">
        <f>Participant!$E$1</f>
        <v>2013 - HUF (Thousands)</v>
      </c>
      <c r="J1" s="18" t="s">
        <v>89</v>
      </c>
    </row>
    <row r="2" spans="1:12" ht="15.75" x14ac:dyDescent="0.25">
      <c r="C2" s="486" t="str">
        <f>Participant!$A$2</f>
        <v>-</v>
      </c>
      <c r="D2" s="487"/>
      <c r="E2" s="488"/>
      <c r="F2" s="489" t="s">
        <v>909</v>
      </c>
      <c r="G2" s="490"/>
      <c r="H2" s="491"/>
      <c r="I2" s="492" t="s">
        <v>1152</v>
      </c>
      <c r="J2" s="18" t="s">
        <v>89</v>
      </c>
    </row>
    <row r="3" spans="1:12" x14ac:dyDescent="0.25">
      <c r="C3" s="21"/>
      <c r="D3" s="21"/>
      <c r="E3" s="21"/>
      <c r="F3" s="21"/>
      <c r="G3" s="21"/>
      <c r="H3" s="22"/>
      <c r="I3" s="22"/>
      <c r="J3" s="18" t="s">
        <v>89</v>
      </c>
    </row>
    <row r="4" spans="1:12" x14ac:dyDescent="0.25">
      <c r="C4" s="21"/>
      <c r="D4" s="113" t="s">
        <v>92</v>
      </c>
      <c r="E4" s="114"/>
      <c r="F4" s="115"/>
      <c r="G4" s="116" t="s">
        <v>523</v>
      </c>
      <c r="H4" s="117" t="s">
        <v>524</v>
      </c>
      <c r="J4" s="18" t="s">
        <v>89</v>
      </c>
      <c r="K4" s="112"/>
      <c r="L4" s="112"/>
    </row>
    <row r="5" spans="1:12" x14ac:dyDescent="0.25">
      <c r="C5" s="21"/>
      <c r="D5" s="915" t="s">
        <v>525</v>
      </c>
      <c r="E5" s="118"/>
      <c r="F5" s="119"/>
      <c r="G5" s="120" t="s">
        <v>526</v>
      </c>
      <c r="H5" s="121" t="str">
        <f>HYPERLINK("#'"&amp;G5&amp;"'!$H$5",H$4)</f>
        <v>GoTo</v>
      </c>
      <c r="J5" s="18" t="s">
        <v>89</v>
      </c>
      <c r="K5" s="112"/>
      <c r="L5" s="112"/>
    </row>
    <row r="6" spans="1:12" x14ac:dyDescent="0.25">
      <c r="C6" s="21"/>
      <c r="D6" s="915" t="s">
        <v>527</v>
      </c>
      <c r="E6" s="118"/>
      <c r="F6" s="119"/>
      <c r="G6" s="120" t="s">
        <v>528</v>
      </c>
      <c r="H6" s="121" t="str">
        <f>HYPERLINK("#'"&amp;G6&amp;"'!$A$1",H$4)</f>
        <v>GoTo</v>
      </c>
      <c r="J6" s="18" t="s">
        <v>89</v>
      </c>
      <c r="K6" s="112"/>
      <c r="L6" s="112"/>
    </row>
    <row r="7" spans="1:12" ht="15.75" x14ac:dyDescent="0.25">
      <c r="C7" s="21"/>
      <c r="D7" s="122" t="s">
        <v>529</v>
      </c>
      <c r="E7" s="123"/>
      <c r="F7" s="124"/>
      <c r="G7" s="125" t="s">
        <v>95</v>
      </c>
      <c r="H7" s="126" t="str">
        <f>HYPERLINK("#'"&amp;G7&amp;"'!$E$4",H$4)</f>
        <v>GoTo</v>
      </c>
      <c r="J7" s="18" t="s">
        <v>89</v>
      </c>
    </row>
    <row r="8" spans="1:12" s="402" customFormat="1" ht="15.75" x14ac:dyDescent="0.25">
      <c r="C8" s="21"/>
      <c r="D8" s="1013" t="s">
        <v>1160</v>
      </c>
      <c r="E8" s="123"/>
      <c r="F8" s="123"/>
      <c r="G8" s="125" t="s">
        <v>1156</v>
      </c>
      <c r="H8" s="126" t="str">
        <f>HYPERLINK("#'"&amp;G8&amp;"'!$E$4",H$4)</f>
        <v>GoTo</v>
      </c>
      <c r="J8" s="18"/>
    </row>
    <row r="9" spans="1:12" s="150" customFormat="1" ht="15.75" x14ac:dyDescent="0.25">
      <c r="A9" s="208"/>
      <c r="B9" s="208"/>
      <c r="C9" s="21"/>
      <c r="D9" s="127" t="s">
        <v>694</v>
      </c>
      <c r="E9" s="128"/>
      <c r="F9" s="128"/>
      <c r="G9" s="152"/>
      <c r="H9" s="129"/>
      <c r="J9" s="18" t="s">
        <v>89</v>
      </c>
    </row>
    <row r="10" spans="1:12" s="150" customFormat="1" x14ac:dyDescent="0.25">
      <c r="C10" s="21"/>
      <c r="D10" s="912" t="s">
        <v>1126</v>
      </c>
      <c r="E10" s="130"/>
      <c r="F10" s="131"/>
      <c r="G10" s="132" t="s">
        <v>692</v>
      </c>
      <c r="H10" s="133" t="str">
        <f>HYPERLINK("#'"&amp;G10&amp;"'!$G$3",H$4)</f>
        <v>GoTo</v>
      </c>
      <c r="J10" s="18" t="s">
        <v>89</v>
      </c>
    </row>
    <row r="11" spans="1:12" s="150" customFormat="1" x14ac:dyDescent="0.25">
      <c r="C11" s="21"/>
      <c r="D11" s="912" t="s">
        <v>1127</v>
      </c>
      <c r="E11" s="130"/>
      <c r="F11" s="131"/>
      <c r="G11" s="132" t="s">
        <v>693</v>
      </c>
      <c r="H11" s="133" t="str">
        <f>HYPERLINK("#'"&amp;G11&amp;"'!$M$4",H$4)</f>
        <v>GoTo</v>
      </c>
      <c r="J11" s="18" t="s">
        <v>89</v>
      </c>
    </row>
    <row r="12" spans="1:12" s="208" customFormat="1" x14ac:dyDescent="0.25">
      <c r="C12" s="21"/>
      <c r="D12" s="912" t="s">
        <v>1137</v>
      </c>
      <c r="E12" s="130"/>
      <c r="F12" s="131"/>
      <c r="G12" s="132" t="s">
        <v>696</v>
      </c>
      <c r="H12" s="133" t="str">
        <f>HYPERLINK("#'"&amp;G12&amp;"'!$i$3",H$4)</f>
        <v>GoTo</v>
      </c>
      <c r="J12" s="18" t="s">
        <v>89</v>
      </c>
    </row>
    <row r="13" spans="1:12" s="150" customFormat="1" ht="15.75" x14ac:dyDescent="0.25">
      <c r="A13" s="134" t="s">
        <v>763</v>
      </c>
      <c r="B13" s="135" t="str">
        <f>HYPERLINK(_TSII_&amp;"#"&amp;SUBSTITUTE(A13,".","_"),"Open")</f>
        <v>Open</v>
      </c>
      <c r="C13" s="21"/>
      <c r="D13" s="127" t="s">
        <v>1139</v>
      </c>
      <c r="E13" s="128"/>
      <c r="F13" s="128"/>
      <c r="G13" s="152"/>
      <c r="H13" s="129"/>
      <c r="J13" s="18" t="s">
        <v>89</v>
      </c>
      <c r="L13" s="402"/>
    </row>
    <row r="14" spans="1:12" s="150" customFormat="1" x14ac:dyDescent="0.25">
      <c r="C14" s="21"/>
      <c r="D14" s="916" t="s">
        <v>1149</v>
      </c>
      <c r="E14" s="130"/>
      <c r="F14" s="131"/>
      <c r="G14" s="132" t="s">
        <v>1128</v>
      </c>
      <c r="H14" s="133" t="str">
        <f>HYPERLINK("#'"&amp;G14&amp;"'!$I3",H$4)</f>
        <v>GoTo</v>
      </c>
      <c r="J14" s="18" t="s">
        <v>89</v>
      </c>
      <c r="L14" s="402"/>
    </row>
    <row r="15" spans="1:12" s="208" customFormat="1" x14ac:dyDescent="0.25">
      <c r="C15" s="21"/>
      <c r="D15" s="916" t="s">
        <v>695</v>
      </c>
      <c r="E15" s="255"/>
      <c r="F15" s="256"/>
      <c r="G15" s="132" t="s">
        <v>1140</v>
      </c>
      <c r="H15" s="133" t="str">
        <f>HYPERLINK("#'"&amp;G15&amp;"'!$H3",H$4)</f>
        <v>GoTo</v>
      </c>
      <c r="J15" s="18" t="s">
        <v>89</v>
      </c>
      <c r="K15" s="402"/>
      <c r="L15" s="402"/>
    </row>
    <row r="16" spans="1:12" s="150" customFormat="1" ht="15.75" x14ac:dyDescent="0.25">
      <c r="C16" s="21"/>
      <c r="D16" s="136" t="s">
        <v>1145</v>
      </c>
      <c r="E16" s="137"/>
      <c r="F16" s="137"/>
      <c r="G16" s="151"/>
      <c r="H16" s="138"/>
      <c r="J16" s="18" t="s">
        <v>89</v>
      </c>
      <c r="K16" s="402"/>
      <c r="L16" s="4"/>
    </row>
    <row r="17" spans="1:19" s="208" customFormat="1" x14ac:dyDescent="0.25">
      <c r="A17" s="134" t="s">
        <v>1078</v>
      </c>
      <c r="B17" s="135" t="str">
        <f>HYPERLINK(_TSII_&amp;"#"&amp;SUBSTITUTE(A17,".","_"),"Open")</f>
        <v>Open</v>
      </c>
      <c r="C17" s="21"/>
      <c r="D17" s="912" t="s">
        <v>1144</v>
      </c>
      <c r="E17" s="130"/>
      <c r="F17" s="131"/>
      <c r="G17" s="132" t="s">
        <v>1150</v>
      </c>
      <c r="H17" s="133" t="str">
        <f>HYPERLINK("#'"&amp;G17&amp;"'!$K$4",H$4)</f>
        <v>GoTo</v>
      </c>
      <c r="J17" s="18" t="s">
        <v>89</v>
      </c>
      <c r="K17" s="402"/>
    </row>
    <row r="18" spans="1:19" s="150" customFormat="1" x14ac:dyDescent="0.25">
      <c r="A18" s="134" t="s">
        <v>1079</v>
      </c>
      <c r="B18" s="135" t="str">
        <f>HYPERLINK(_TSII_&amp;"#"&amp;SUBSTITUTE(A18,".","_"),"Open")</f>
        <v>Open</v>
      </c>
      <c r="C18" s="21"/>
      <c r="D18" s="912" t="s">
        <v>1162</v>
      </c>
      <c r="E18" s="130"/>
      <c r="F18" s="131"/>
      <c r="G18" s="132" t="s">
        <v>1164</v>
      </c>
      <c r="H18" s="133" t="str">
        <f>HYPERLINK("#'"&amp;G18&amp;"'!$K$4",H$4)</f>
        <v>GoTo</v>
      </c>
      <c r="J18" s="18" t="s">
        <v>89</v>
      </c>
      <c r="K18" s="402"/>
    </row>
    <row r="19" spans="1:19" s="150" customFormat="1" x14ac:dyDescent="0.25">
      <c r="A19" s="134" t="s">
        <v>1080</v>
      </c>
      <c r="B19" s="135" t="str">
        <f>HYPERLINK(_TSII_&amp;"#"&amp;SUBSTITUTE(A19,".","_"),"Open")</f>
        <v>Open</v>
      </c>
      <c r="C19" s="21"/>
      <c r="D19" s="912" t="s">
        <v>1163</v>
      </c>
      <c r="E19" s="130"/>
      <c r="F19" s="131"/>
      <c r="G19" s="132" t="s">
        <v>1168</v>
      </c>
      <c r="H19" s="133" t="str">
        <f>HYPERLINK("#'"&amp;G19&amp;"'!$K$4",H$4)</f>
        <v>GoTo</v>
      </c>
      <c r="J19" s="18" t="s">
        <v>89</v>
      </c>
    </row>
    <row r="20" spans="1:19" s="150" customFormat="1" ht="15.75" x14ac:dyDescent="0.25">
      <c r="C20" s="21"/>
      <c r="D20" s="139" t="s">
        <v>1153</v>
      </c>
      <c r="E20" s="140"/>
      <c r="F20" s="140"/>
      <c r="G20" s="153"/>
      <c r="H20" s="141"/>
      <c r="J20" s="18" t="s">
        <v>89</v>
      </c>
    </row>
    <row r="21" spans="1:19" s="150" customFormat="1" x14ac:dyDescent="0.25">
      <c r="C21" s="21"/>
      <c r="D21" s="913" t="s">
        <v>530</v>
      </c>
      <c r="E21" s="142"/>
      <c r="F21" s="143"/>
      <c r="G21" s="144" t="s">
        <v>450</v>
      </c>
      <c r="H21" s="145" t="str">
        <f>HYPERLINK("#'"&amp;G21&amp;"'!$D2",H$4)</f>
        <v>GoTo</v>
      </c>
      <c r="J21" s="18" t="s">
        <v>89</v>
      </c>
    </row>
    <row r="22" spans="1:19" s="150" customFormat="1" ht="10.5" customHeight="1" x14ac:dyDescent="0.25">
      <c r="C22" s="21"/>
      <c r="J22" s="18" t="s">
        <v>89</v>
      </c>
      <c r="K22" s="208"/>
      <c r="L22" s="208"/>
      <c r="M22" s="208"/>
      <c r="N22" s="208"/>
      <c r="O22" s="208"/>
      <c r="P22" s="208"/>
      <c r="Q22" s="208"/>
      <c r="R22" s="208"/>
    </row>
    <row r="23" spans="1:19" x14ac:dyDescent="0.25">
      <c r="C23" s="21"/>
      <c r="D23" s="146"/>
      <c r="E23" s="914" t="s">
        <v>705</v>
      </c>
      <c r="F23" s="147" t="s">
        <v>1074</v>
      </c>
      <c r="G23" s="148"/>
      <c r="H23" s="149"/>
      <c r="I23" s="21"/>
      <c r="J23" s="18" t="s">
        <v>89</v>
      </c>
      <c r="K23" s="208"/>
      <c r="L23" s="208"/>
      <c r="M23" s="208"/>
      <c r="N23" s="208"/>
      <c r="O23" s="208"/>
      <c r="P23" s="208"/>
      <c r="Q23" s="208"/>
      <c r="R23" s="208"/>
    </row>
    <row r="24" spans="1:19" s="208" customFormat="1" x14ac:dyDescent="0.25">
      <c r="C24" s="21"/>
      <c r="D24" s="146"/>
      <c r="E24" s="914" t="s">
        <v>704</v>
      </c>
      <c r="F24" s="147" t="s">
        <v>1075</v>
      </c>
      <c r="G24" s="148"/>
      <c r="H24" s="149"/>
      <c r="I24" s="21"/>
      <c r="J24" s="18" t="s">
        <v>89</v>
      </c>
      <c r="S24" s="54"/>
    </row>
    <row r="25" spans="1:19" ht="9" customHeight="1" x14ac:dyDescent="0.25">
      <c r="C25" s="21"/>
      <c r="D25" s="21"/>
      <c r="E25" s="21"/>
      <c r="F25" s="21"/>
      <c r="H25" s="21"/>
      <c r="I25" s="21"/>
      <c r="J25" s="18" t="s">
        <v>89</v>
      </c>
      <c r="K25" s="208"/>
      <c r="L25" s="208"/>
      <c r="M25" s="208"/>
      <c r="N25" s="208"/>
      <c r="O25" s="208"/>
      <c r="P25" s="208"/>
      <c r="Q25" s="208"/>
      <c r="R25" s="208"/>
      <c r="S25" s="208"/>
    </row>
    <row r="26" spans="1:19" x14ac:dyDescent="0.25">
      <c r="A26" s="18" t="s">
        <v>89</v>
      </c>
      <c r="B26" s="18" t="s">
        <v>89</v>
      </c>
      <c r="C26" s="18" t="s">
        <v>89</v>
      </c>
      <c r="D26" s="18" t="s">
        <v>89</v>
      </c>
      <c r="E26" s="18" t="s">
        <v>89</v>
      </c>
      <c r="F26" s="18" t="s">
        <v>89</v>
      </c>
      <c r="G26" s="18" t="s">
        <v>89</v>
      </c>
      <c r="H26" s="18" t="s">
        <v>89</v>
      </c>
      <c r="I26" s="18" t="s">
        <v>89</v>
      </c>
      <c r="J26" s="18" t="s">
        <v>89</v>
      </c>
      <c r="K26" s="208"/>
      <c r="L26" s="208"/>
      <c r="M26" s="208"/>
      <c r="N26" s="208"/>
      <c r="O26" s="208"/>
      <c r="P26" s="208"/>
      <c r="Q26" s="208"/>
      <c r="R26" s="208"/>
    </row>
    <row r="27" spans="1:19" x14ac:dyDescent="0.25">
      <c r="K27" s="208"/>
      <c r="L27" s="208"/>
      <c r="M27" s="208"/>
      <c r="N27" s="208"/>
      <c r="O27" s="208"/>
      <c r="P27" s="208"/>
      <c r="Q27" s="208"/>
      <c r="R27" s="208"/>
    </row>
    <row r="28" spans="1:19" x14ac:dyDescent="0.25">
      <c r="K28" s="208"/>
      <c r="L28" s="208"/>
      <c r="M28" s="208"/>
      <c r="N28" s="208"/>
      <c r="O28" s="208"/>
      <c r="P28" s="208"/>
      <c r="Q28" s="208"/>
      <c r="R28" s="208"/>
    </row>
    <row r="29" spans="1:19" x14ac:dyDescent="0.25">
      <c r="K29" s="208"/>
      <c r="L29" s="208"/>
      <c r="M29" s="208"/>
      <c r="N29" s="208"/>
      <c r="O29" s="208"/>
      <c r="P29" s="208"/>
      <c r="Q29" s="208"/>
      <c r="R29" s="208"/>
    </row>
    <row r="30" spans="1:19" x14ac:dyDescent="0.25">
      <c r="K30" s="208"/>
      <c r="L30" s="208"/>
      <c r="M30" s="208"/>
      <c r="N30" s="208"/>
      <c r="O30" s="208"/>
      <c r="P30" s="208"/>
      <c r="Q30" s="208"/>
      <c r="R30" s="208"/>
    </row>
    <row r="31" spans="1:19" x14ac:dyDescent="0.25">
      <c r="K31" s="208"/>
      <c r="L31" s="208"/>
      <c r="M31" s="208"/>
      <c r="N31" s="208"/>
      <c r="O31" s="208"/>
      <c r="P31" s="208"/>
      <c r="Q31" s="208"/>
      <c r="R31" s="208"/>
    </row>
    <row r="32" spans="1:19" x14ac:dyDescent="0.25">
      <c r="K32" s="208"/>
      <c r="L32" s="208"/>
      <c r="M32" s="208"/>
      <c r="N32" s="208"/>
      <c r="O32" s="208"/>
      <c r="P32" s="208"/>
      <c r="Q32" s="208"/>
      <c r="R32" s="208"/>
    </row>
    <row r="33" spans="11:18" x14ac:dyDescent="0.25">
      <c r="K33" s="208"/>
      <c r="L33" s="208"/>
      <c r="M33" s="208"/>
      <c r="N33" s="208"/>
      <c r="O33" s="208"/>
      <c r="P33" s="208"/>
      <c r="Q33" s="208"/>
      <c r="R33" s="208"/>
    </row>
    <row r="34" spans="11:18" x14ac:dyDescent="0.25">
      <c r="K34" s="208"/>
      <c r="L34" s="208"/>
      <c r="M34" s="208"/>
      <c r="N34" s="208"/>
      <c r="O34" s="208"/>
      <c r="P34" s="208"/>
      <c r="Q34" s="208"/>
      <c r="R34" s="208"/>
    </row>
    <row r="35" spans="11:18" x14ac:dyDescent="0.25">
      <c r="K35" s="208"/>
      <c r="L35" s="208"/>
      <c r="M35" s="208"/>
      <c r="N35" s="208"/>
      <c r="O35" s="208"/>
      <c r="P35" s="208"/>
      <c r="Q35" s="208"/>
      <c r="R35" s="208"/>
    </row>
  </sheetData>
  <pageMargins left="0.25" right="0.25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>
    <tabColor theme="5" tint="0.39997558519241921"/>
  </sheetPr>
  <dimension ref="A1:AD536"/>
  <sheetViews>
    <sheetView topLeftCell="C1" workbookViewId="0">
      <selection activeCell="AF24" sqref="AF24"/>
    </sheetView>
  </sheetViews>
  <sheetFormatPr defaultRowHeight="15" outlineLevelCol="1" x14ac:dyDescent="0.25"/>
  <cols>
    <col min="1" max="1" width="9.140625" style="4" hidden="1" customWidth="1" outlineLevel="1"/>
    <col min="2" max="2" width="5" style="4" hidden="1" customWidth="1" outlineLevel="1"/>
    <col min="3" max="3" width="30.7109375" style="8" customWidth="1" collapsed="1"/>
    <col min="4" max="4" width="16.42578125" style="60" bestFit="1" customWidth="1"/>
    <col min="5" max="5" width="1.5703125" style="59" customWidth="1"/>
    <col min="6" max="6" width="9.7109375" style="8" customWidth="1"/>
    <col min="7" max="12" width="9.7109375" style="4" customWidth="1"/>
    <col min="13" max="13" width="10.140625" style="4" customWidth="1"/>
    <col min="14" max="14" width="35.7109375" style="4" customWidth="1"/>
    <col min="15" max="15" width="1.85546875" style="4" bestFit="1" customWidth="1"/>
    <col min="16" max="16" width="14.85546875" style="4" hidden="1" customWidth="1" outlineLevel="1"/>
    <col min="17" max="17" width="26.28515625" style="4" hidden="1" customWidth="1" outlineLevel="1"/>
    <col min="18" max="24" width="9.140625" style="4" hidden="1" customWidth="1" outlineLevel="1"/>
    <col min="25" max="25" width="9.140625" style="4" hidden="1" customWidth="1" outlineLevel="1" collapsed="1"/>
    <col min="26" max="29" width="9.140625" style="4" hidden="1" customWidth="1" outlineLevel="1"/>
    <col min="30" max="30" width="9.140625" style="4" collapsed="1"/>
    <col min="31" max="244" width="9.140625" style="4"/>
    <col min="245" max="245" width="50.5703125" style="4" customWidth="1"/>
    <col min="246" max="246" width="24.140625" style="4" customWidth="1"/>
    <col min="247" max="247" width="27" style="4" customWidth="1"/>
    <col min="248" max="248" width="9.140625" style="4"/>
    <col min="249" max="249" width="16.7109375" style="4" customWidth="1"/>
    <col min="250" max="250" width="9.140625" style="4"/>
    <col min="251" max="251" width="26.85546875" style="4" customWidth="1"/>
    <col min="252" max="16384" width="9.140625" style="4"/>
  </cols>
  <sheetData>
    <row r="1" spans="3:17" ht="15.75" x14ac:dyDescent="0.25">
      <c r="C1" s="499" t="str">
        <f>Participant!$A$1</f>
        <v>&lt;Participant's name&gt;</v>
      </c>
      <c r="D1" s="494"/>
      <c r="E1" s="503"/>
      <c r="F1" s="503"/>
      <c r="G1" s="506"/>
      <c r="H1" s="506"/>
      <c r="I1" s="506"/>
      <c r="J1" s="506"/>
      <c r="K1" s="506"/>
      <c r="L1" s="506"/>
      <c r="M1" s="506"/>
      <c r="N1" s="485" t="str">
        <f>Participant!$E$1</f>
        <v>2013 - HUF (Thousands)</v>
      </c>
      <c r="O1" s="304" t="s">
        <v>89</v>
      </c>
    </row>
    <row r="2" spans="3:17" x14ac:dyDescent="0.25">
      <c r="C2" s="486" t="str">
        <f>Participant!$A$2</f>
        <v>-</v>
      </c>
      <c r="D2" s="507"/>
      <c r="E2" s="508"/>
      <c r="F2" s="487"/>
      <c r="G2" s="487"/>
      <c r="H2" s="932"/>
      <c r="I2" s="498" t="str">
        <f>P.Index!D18</f>
        <v>1. Illeszkedési kiigazítás forgatókönyv</v>
      </c>
      <c r="J2" s="487"/>
      <c r="K2" s="487"/>
      <c r="L2" s="487"/>
      <c r="M2" s="487"/>
      <c r="N2" s="492" t="str">
        <f>Version</f>
        <v>2013 12 31</v>
      </c>
      <c r="O2" s="304" t="s">
        <v>89</v>
      </c>
    </row>
    <row r="3" spans="3:17" ht="7.5" customHeight="1" x14ac:dyDescent="0.25">
      <c r="D3" s="402"/>
      <c r="E3" s="4"/>
      <c r="O3" s="304" t="s">
        <v>89</v>
      </c>
    </row>
    <row r="4" spans="3:17" x14ac:dyDescent="0.25">
      <c r="C4" s="1043" t="s">
        <v>741</v>
      </c>
      <c r="D4" s="1111" t="s">
        <v>1143</v>
      </c>
      <c r="E4" s="4"/>
      <c r="F4" s="379" t="s">
        <v>683</v>
      </c>
      <c r="G4" s="380"/>
      <c r="H4" s="381"/>
      <c r="J4" s="248" t="s">
        <v>684</v>
      </c>
      <c r="K4" s="249" t="str">
        <f>HYPERLINK("#'P.index'!H21","&gt;&gt; index sheet")</f>
        <v>&gt;&gt; index sheet</v>
      </c>
      <c r="L4" s="250"/>
      <c r="M4" s="249" t="str">
        <f>HYPERLINK("#'Overview'!G7","&gt;&gt; Overview sheet")</f>
        <v>&gt;&gt; Overview sheet</v>
      </c>
      <c r="N4" s="162"/>
      <c r="O4" s="304" t="s">
        <v>89</v>
      </c>
    </row>
    <row r="5" spans="3:17" x14ac:dyDescent="0.25">
      <c r="C5" s="1045"/>
      <c r="D5" s="1112"/>
      <c r="E5" s="4"/>
      <c r="F5" s="897" t="s">
        <v>647</v>
      </c>
      <c r="G5" s="516"/>
      <c r="H5" s="517"/>
      <c r="J5" s="251" t="str">
        <f>HYPERLINK("#'Shared-2013'!C6:I47","&gt;&gt; details of the balance sheet shared across scenarios")</f>
        <v>&gt;&gt; details of the balance sheet shared across scenarios</v>
      </c>
      <c r="K5" s="279"/>
      <c r="L5" s="279"/>
      <c r="M5" s="279"/>
      <c r="N5" s="272"/>
      <c r="O5" s="304" t="s">
        <v>89</v>
      </c>
      <c r="Q5" s="899">
        <f>MATCH(D6,Q6:Q8,0)</f>
        <v>1</v>
      </c>
    </row>
    <row r="6" spans="3:17" x14ac:dyDescent="0.25">
      <c r="C6" s="690" t="s">
        <v>685</v>
      </c>
      <c r="D6" s="518" t="s">
        <v>538</v>
      </c>
      <c r="E6" s="4"/>
      <c r="F6" s="898" t="s">
        <v>646</v>
      </c>
      <c r="G6" s="454"/>
      <c r="H6" s="455"/>
      <c r="J6" s="251" t="str">
        <f>HYPERLINK("#'Shared-2013'!C55:I75","&gt;&gt; details of the own funds shared across scenarios")</f>
        <v>&gt;&gt; details of the own funds shared across scenarios</v>
      </c>
      <c r="K6" s="279"/>
      <c r="L6" s="279"/>
      <c r="M6" s="279"/>
      <c r="N6" s="272"/>
      <c r="O6" s="304" t="s">
        <v>89</v>
      </c>
      <c r="Q6" s="156" t="s">
        <v>538</v>
      </c>
    </row>
    <row r="7" spans="3:17" x14ac:dyDescent="0.25">
      <c r="D7" s="402"/>
      <c r="E7" s="4"/>
      <c r="F7" s="889" t="s">
        <v>539</v>
      </c>
      <c r="G7" s="890"/>
      <c r="H7" s="891"/>
      <c r="J7" s="253" t="str">
        <f>HYPERLINK("#'Shared-2013'!C78:I158","&gt;&gt; details of the capital requirements shared across scenarios")</f>
        <v>&gt;&gt; details of the capital requirements shared across scenarios</v>
      </c>
      <c r="K7" s="254"/>
      <c r="L7" s="254"/>
      <c r="M7" s="254"/>
      <c r="N7" s="164"/>
      <c r="O7" s="304" t="s">
        <v>89</v>
      </c>
      <c r="Q7" s="156" t="s">
        <v>140</v>
      </c>
    </row>
    <row r="8" spans="3:17" ht="8.25" customHeight="1" x14ac:dyDescent="0.25">
      <c r="D8" s="402"/>
      <c r="E8" s="4"/>
      <c r="O8" s="304" t="s">
        <v>89</v>
      </c>
      <c r="Q8" s="156" t="s">
        <v>540</v>
      </c>
    </row>
    <row r="9" spans="3:17" ht="15.75" customHeight="1" x14ac:dyDescent="0.25">
      <c r="C9" s="635" t="s">
        <v>657</v>
      </c>
      <c r="D9" s="691"/>
      <c r="E9" s="157" t="s">
        <v>89</v>
      </c>
      <c r="F9" s="635" t="s">
        <v>661</v>
      </c>
      <c r="G9" s="692"/>
      <c r="H9" s="692"/>
      <c r="I9" s="691"/>
      <c r="M9" s="1130" t="s">
        <v>1055</v>
      </c>
      <c r="N9" s="1055"/>
      <c r="O9" s="304" t="s">
        <v>89</v>
      </c>
    </row>
    <row r="10" spans="3:17" x14ac:dyDescent="0.25">
      <c r="C10" s="693" t="s">
        <v>77</v>
      </c>
      <c r="D10" s="382">
        <f>SUM('Shared-2013'!D50)</f>
        <v>0</v>
      </c>
      <c r="E10" s="155" t="s">
        <v>89</v>
      </c>
      <c r="F10" s="694" t="s">
        <v>514</v>
      </c>
      <c r="G10" s="695" t="s">
        <v>641</v>
      </c>
      <c r="H10" s="695" t="s">
        <v>640</v>
      </c>
      <c r="I10" s="695" t="s">
        <v>639</v>
      </c>
      <c r="J10" s="1133" t="s">
        <v>531</v>
      </c>
      <c r="K10" s="1134"/>
      <c r="L10" s="203"/>
      <c r="M10" s="1131"/>
      <c r="N10" s="1132"/>
      <c r="O10" s="304" t="s">
        <v>89</v>
      </c>
    </row>
    <row r="11" spans="3:17" x14ac:dyDescent="0.25">
      <c r="C11" s="651" t="s">
        <v>681</v>
      </c>
      <c r="D11" s="450">
        <f>SUM(D12:D17)</f>
        <v>0</v>
      </c>
      <c r="E11" s="155" t="s">
        <v>89</v>
      </c>
      <c r="F11" s="450">
        <f>SUM(F12:F17)</f>
        <v>0</v>
      </c>
      <c r="G11" s="442">
        <f>SUM(G12:G17)</f>
        <v>0</v>
      </c>
      <c r="H11" s="450">
        <f>SUM(H12:H17)</f>
        <v>0</v>
      </c>
      <c r="I11" s="442">
        <f>SUM(I12:I17)</f>
        <v>0</v>
      </c>
      <c r="J11" s="1135"/>
      <c r="K11" s="1136"/>
      <c r="L11" s="203"/>
      <c r="M11" s="1059"/>
      <c r="N11" s="1057"/>
      <c r="O11" s="304" t="s">
        <v>89</v>
      </c>
    </row>
    <row r="12" spans="3:17" x14ac:dyDescent="0.25">
      <c r="C12" s="696" t="s">
        <v>117</v>
      </c>
      <c r="D12" s="514" t="s">
        <v>521</v>
      </c>
      <c r="E12" s="155" t="s">
        <v>89</v>
      </c>
      <c r="F12" s="444">
        <f t="shared" ref="F12:F17" si="0">SUM(G12:I12)</f>
        <v>0</v>
      </c>
      <c r="G12" s="524" t="s">
        <v>521</v>
      </c>
      <c r="H12" s="524" t="s">
        <v>521</v>
      </c>
      <c r="I12" s="524" t="s">
        <v>521</v>
      </c>
      <c r="J12" s="697" t="s">
        <v>662</v>
      </c>
      <c r="K12" s="698"/>
      <c r="M12" s="451">
        <f>SUM(H11:I11)-SUM(I17)</f>
        <v>0</v>
      </c>
      <c r="N12" s="694" t="s">
        <v>514</v>
      </c>
      <c r="O12" s="304" t="s">
        <v>89</v>
      </c>
      <c r="Q12" s="699" t="s">
        <v>532</v>
      </c>
    </row>
    <row r="13" spans="3:17" x14ac:dyDescent="0.25">
      <c r="C13" s="696" t="s">
        <v>118</v>
      </c>
      <c r="D13" s="514" t="s">
        <v>521</v>
      </c>
      <c r="E13" s="155" t="s">
        <v>89</v>
      </c>
      <c r="F13" s="444">
        <f t="shared" si="0"/>
        <v>0</v>
      </c>
      <c r="G13" s="514" t="s">
        <v>521</v>
      </c>
      <c r="H13" s="514" t="s">
        <v>521</v>
      </c>
      <c r="I13" s="514" t="s">
        <v>521</v>
      </c>
      <c r="J13" s="697" t="s">
        <v>663</v>
      </c>
      <c r="K13" s="698"/>
      <c r="M13" s="514" t="s">
        <v>521</v>
      </c>
      <c r="N13" s="699" t="s">
        <v>532</v>
      </c>
      <c r="O13" s="304" t="s">
        <v>89</v>
      </c>
      <c r="Q13" s="699" t="s">
        <v>875</v>
      </c>
    </row>
    <row r="14" spans="3:17" x14ac:dyDescent="0.25">
      <c r="C14" s="696" t="s">
        <v>126</v>
      </c>
      <c r="D14" s="514" t="s">
        <v>521</v>
      </c>
      <c r="E14" s="155" t="s">
        <v>89</v>
      </c>
      <c r="F14" s="444">
        <f t="shared" si="0"/>
        <v>0</v>
      </c>
      <c r="G14" s="514" t="s">
        <v>521</v>
      </c>
      <c r="H14" s="514" t="s">
        <v>521</v>
      </c>
      <c r="I14" s="514" t="s">
        <v>521</v>
      </c>
      <c r="J14" s="697" t="s">
        <v>664</v>
      </c>
      <c r="K14" s="698"/>
      <c r="M14" s="868" t="s">
        <v>521</v>
      </c>
      <c r="N14" s="699" t="s">
        <v>1146</v>
      </c>
      <c r="O14" s="304" t="s">
        <v>89</v>
      </c>
      <c r="Q14" s="699" t="s">
        <v>534</v>
      </c>
    </row>
    <row r="15" spans="3:17" x14ac:dyDescent="0.25">
      <c r="C15" s="696" t="s">
        <v>636</v>
      </c>
      <c r="D15" s="514" t="s">
        <v>521</v>
      </c>
      <c r="E15" s="155" t="s">
        <v>89</v>
      </c>
      <c r="F15" s="444">
        <f t="shared" si="0"/>
        <v>0</v>
      </c>
      <c r="G15" s="514" t="s">
        <v>521</v>
      </c>
      <c r="H15" s="514" t="s">
        <v>521</v>
      </c>
      <c r="I15" s="514" t="s">
        <v>521</v>
      </c>
      <c r="J15" s="697" t="s">
        <v>636</v>
      </c>
      <c r="K15" s="700"/>
      <c r="M15" s="868" t="s">
        <v>521</v>
      </c>
      <c r="N15" s="699" t="s">
        <v>1147</v>
      </c>
      <c r="O15" s="304" t="s">
        <v>89</v>
      </c>
      <c r="Q15" s="699" t="s">
        <v>60</v>
      </c>
    </row>
    <row r="16" spans="3:17" x14ac:dyDescent="0.25">
      <c r="C16" s="696" t="s">
        <v>637</v>
      </c>
      <c r="D16" s="514" t="s">
        <v>521</v>
      </c>
      <c r="E16" s="155" t="s">
        <v>89</v>
      </c>
      <c r="F16" s="444">
        <f t="shared" si="0"/>
        <v>0</v>
      </c>
      <c r="G16" s="514" t="s">
        <v>521</v>
      </c>
      <c r="H16" s="514" t="s">
        <v>521</v>
      </c>
      <c r="I16" s="514" t="s">
        <v>521</v>
      </c>
      <c r="J16" s="697" t="s">
        <v>665</v>
      </c>
      <c r="K16" s="698"/>
      <c r="M16" s="868" t="s">
        <v>521</v>
      </c>
      <c r="N16" s="699" t="s">
        <v>1165</v>
      </c>
      <c r="O16" s="304" t="s">
        <v>89</v>
      </c>
      <c r="Q16" s="699"/>
    </row>
    <row r="17" spans="1:17" x14ac:dyDescent="0.25">
      <c r="C17" s="696" t="s">
        <v>638</v>
      </c>
      <c r="D17" s="519" t="s">
        <v>521</v>
      </c>
      <c r="E17" s="155" t="s">
        <v>89</v>
      </c>
      <c r="F17" s="456">
        <f t="shared" si="0"/>
        <v>0</v>
      </c>
      <c r="G17" s="519" t="s">
        <v>521</v>
      </c>
      <c r="H17" s="519" t="s">
        <v>521</v>
      </c>
      <c r="I17" s="519" t="s">
        <v>521</v>
      </c>
      <c r="J17" s="701" t="s">
        <v>666</v>
      </c>
      <c r="K17" s="702"/>
      <c r="M17" s="870">
        <f>SUM(M12)-SUM(M13:M16)</f>
        <v>0</v>
      </c>
      <c r="N17" s="703" t="s">
        <v>537</v>
      </c>
      <c r="O17" s="304" t="s">
        <v>89</v>
      </c>
    </row>
    <row r="18" spans="1:17" x14ac:dyDescent="0.25">
      <c r="C18" s="654" t="s">
        <v>635</v>
      </c>
      <c r="D18" s="383">
        <f>SUM('Shared-2013'!D26)</f>
        <v>0</v>
      </c>
      <c r="E18" s="155" t="s">
        <v>89</v>
      </c>
      <c r="F18" s="418"/>
      <c r="G18" s="419"/>
      <c r="H18" s="419"/>
      <c r="I18" s="419"/>
      <c r="J18" s="420"/>
      <c r="K18" s="421"/>
      <c r="O18" s="304" t="s">
        <v>89</v>
      </c>
    </row>
    <row r="19" spans="1:17" x14ac:dyDescent="0.25">
      <c r="C19" s="651" t="s">
        <v>5</v>
      </c>
      <c r="D19" s="528" t="s">
        <v>521</v>
      </c>
      <c r="E19" s="155" t="s">
        <v>89</v>
      </c>
      <c r="F19" s="528" t="s">
        <v>521</v>
      </c>
      <c r="G19" s="422"/>
      <c r="H19" s="422"/>
      <c r="I19" s="422"/>
      <c r="J19" s="704" t="s">
        <v>25</v>
      </c>
      <c r="K19" s="705"/>
      <c r="M19" s="448">
        <f>MAX(SUM(D19)-SUM(F19),0)</f>
        <v>0</v>
      </c>
      <c r="N19" s="706" t="s">
        <v>668</v>
      </c>
      <c r="O19" s="304" t="s">
        <v>89</v>
      </c>
    </row>
    <row r="20" spans="1:17" x14ac:dyDescent="0.25">
      <c r="C20" s="693" t="s">
        <v>82</v>
      </c>
      <c r="D20" s="382">
        <f>SUM('Shared-2013'!D52)</f>
        <v>0</v>
      </c>
      <c r="E20" s="155" t="s">
        <v>89</v>
      </c>
      <c r="F20" s="384">
        <f>SUM('Shared-2013'!F52)</f>
        <v>0</v>
      </c>
      <c r="G20" s="423"/>
      <c r="H20" s="423"/>
      <c r="I20" s="423"/>
      <c r="J20" s="592" t="s">
        <v>542</v>
      </c>
      <c r="K20" s="707"/>
      <c r="M20" s="448">
        <f>MAX(SUM(F24)-SUM(D24),0)</f>
        <v>0</v>
      </c>
      <c r="N20" s="706" t="s">
        <v>686</v>
      </c>
      <c r="O20" s="304" t="s">
        <v>89</v>
      </c>
    </row>
    <row r="21" spans="1:17" x14ac:dyDescent="0.25">
      <c r="C21" s="158" t="s">
        <v>541</v>
      </c>
      <c r="D21" s="451">
        <f>SUM(D10,D11,D18,D19,D20)</f>
        <v>0</v>
      </c>
      <c r="E21" s="161" t="s">
        <v>89</v>
      </c>
      <c r="F21" s="892">
        <f>SUM(D21)-SUM(F11,F19,F20)</f>
        <v>0</v>
      </c>
      <c r="G21" s="159" t="s">
        <v>36</v>
      </c>
      <c r="H21" s="159"/>
      <c r="I21" s="158"/>
      <c r="J21" s="159"/>
      <c r="K21" s="160"/>
      <c r="M21" s="244" t="str">
        <f>IF(SUM(M20),SUM(D78)/SUM(M20),"-")</f>
        <v>-</v>
      </c>
      <c r="N21" s="706" t="s">
        <v>687</v>
      </c>
      <c r="O21" s="304" t="s">
        <v>89</v>
      </c>
    </row>
    <row r="22" spans="1:17" ht="7.5" customHeight="1" x14ac:dyDescent="0.25">
      <c r="D22" s="402"/>
      <c r="E22" s="4"/>
      <c r="O22" s="304" t="s">
        <v>89</v>
      </c>
    </row>
    <row r="23" spans="1:17" x14ac:dyDescent="0.25">
      <c r="C23" s="708" t="s">
        <v>679</v>
      </c>
      <c r="D23" s="709"/>
      <c r="E23" s="709"/>
      <c r="F23" s="709"/>
      <c r="G23" s="709"/>
      <c r="H23" s="709"/>
      <c r="I23" s="709"/>
      <c r="J23" s="710"/>
      <c r="L23" s="711" t="s">
        <v>1125</v>
      </c>
      <c r="M23" s="712"/>
      <c r="N23" s="691"/>
      <c r="O23" s="304" t="s">
        <v>89</v>
      </c>
    </row>
    <row r="24" spans="1:17" x14ac:dyDescent="0.25">
      <c r="C24" s="713" t="s">
        <v>682</v>
      </c>
      <c r="D24" s="528" t="s">
        <v>521</v>
      </c>
      <c r="E24" s="206" t="s">
        <v>89</v>
      </c>
      <c r="F24" s="528" t="s">
        <v>521</v>
      </c>
      <c r="G24" s="714" t="s">
        <v>680</v>
      </c>
      <c r="H24" s="715"/>
      <c r="I24" s="715"/>
      <c r="J24" s="716"/>
      <c r="L24" s="1035" t="s">
        <v>521</v>
      </c>
      <c r="M24" s="717" t="s">
        <v>532</v>
      </c>
      <c r="N24" s="718"/>
      <c r="O24" s="304" t="s">
        <v>89</v>
      </c>
    </row>
    <row r="25" spans="1:17" x14ac:dyDescent="0.25">
      <c r="C25" s="719" t="s">
        <v>676</v>
      </c>
      <c r="D25" s="518" t="s">
        <v>521</v>
      </c>
      <c r="E25" s="206" t="s">
        <v>89</v>
      </c>
      <c r="F25" s="518" t="s">
        <v>521</v>
      </c>
      <c r="G25" s="714" t="s">
        <v>677</v>
      </c>
      <c r="H25" s="715"/>
      <c r="I25" s="715"/>
      <c r="J25" s="716"/>
      <c r="L25" s="1033"/>
      <c r="M25" s="979"/>
      <c r="N25" s="721"/>
      <c r="O25" s="304" t="s">
        <v>89</v>
      </c>
    </row>
    <row r="26" spans="1:17" ht="7.5" customHeight="1" x14ac:dyDescent="0.25">
      <c r="D26" s="402"/>
      <c r="E26" s="4"/>
      <c r="O26" s="304" t="s">
        <v>89</v>
      </c>
    </row>
    <row r="27" spans="1:17" ht="15.75" thickBot="1" x14ac:dyDescent="0.3">
      <c r="C27" s="158" t="s">
        <v>543</v>
      </c>
      <c r="D27" s="694" t="s">
        <v>606</v>
      </c>
      <c r="E27" s="157" t="s">
        <v>89</v>
      </c>
      <c r="F27" s="694" t="s">
        <v>607</v>
      </c>
      <c r="G27" s="694" t="s">
        <v>674</v>
      </c>
      <c r="I27" s="722" t="s">
        <v>85</v>
      </c>
      <c r="J27" s="722" t="s">
        <v>71</v>
      </c>
      <c r="K27" s="166" t="s">
        <v>673</v>
      </c>
      <c r="L27" s="166"/>
      <c r="M27" s="166"/>
      <c r="N27" s="166"/>
      <c r="O27" s="304" t="s">
        <v>89</v>
      </c>
    </row>
    <row r="28" spans="1:17" x14ac:dyDescent="0.25">
      <c r="C28" s="672" t="s">
        <v>609</v>
      </c>
      <c r="D28" s="450">
        <f>SUM(D29:D31)</f>
        <v>0</v>
      </c>
      <c r="E28" s="155" t="s">
        <v>89</v>
      </c>
      <c r="F28" s="893">
        <f>SUM(F29:F31)</f>
        <v>0</v>
      </c>
      <c r="G28" s="893">
        <f>SUM(G29:G31)</f>
        <v>0</v>
      </c>
      <c r="I28" s="894">
        <f>SUM(D263)</f>
        <v>0</v>
      </c>
      <c r="J28" s="894">
        <f>MAX(0,SUM(H77,H84,H85,D85,$D$77))</f>
        <v>0</v>
      </c>
      <c r="K28" s="723" t="s">
        <v>669</v>
      </c>
      <c r="L28" s="723"/>
      <c r="M28" s="723"/>
      <c r="N28" s="723"/>
      <c r="O28" s="304" t="s">
        <v>89</v>
      </c>
    </row>
    <row r="29" spans="1:17" x14ac:dyDescent="0.25">
      <c r="A29" s="134" t="s">
        <v>824</v>
      </c>
      <c r="B29" s="135" t="str">
        <f>HYPERLINK(_TS_&amp;"#"&amp;SUBSTITUTE(A29,".","_"),"Open")</f>
        <v>Open</v>
      </c>
      <c r="C29" s="724" t="s">
        <v>671</v>
      </c>
      <c r="D29" s="449">
        <f>SUM(F73)</f>
        <v>0</v>
      </c>
      <c r="E29" s="155" t="s">
        <v>89</v>
      </c>
      <c r="F29" s="449">
        <f>$D29</f>
        <v>0</v>
      </c>
      <c r="G29" s="449">
        <f>$D29+SUM(N69)</f>
        <v>0</v>
      </c>
      <c r="I29" s="450">
        <f>IF(AND(F28&lt;&gt;"-",I28&lt;&gt;"-"),SUM(F28)-SUM(I28),"-")</f>
        <v>0</v>
      </c>
      <c r="J29" s="450">
        <f>IF(AND(F34&lt;&gt;"-",J28&lt;&gt;"-"),SUM(F34)-SUM(J28),"-")</f>
        <v>0</v>
      </c>
      <c r="K29" s="725" t="s">
        <v>605</v>
      </c>
      <c r="L29" s="725"/>
      <c r="M29" s="725"/>
      <c r="N29" s="725"/>
      <c r="O29" s="304" t="s">
        <v>89</v>
      </c>
    </row>
    <row r="30" spans="1:17" x14ac:dyDescent="0.25">
      <c r="A30" s="134" t="s">
        <v>824</v>
      </c>
      <c r="B30" s="135" t="str">
        <f>HYPERLINK(_TS_&amp;"#"&amp;SUBSTITUTE(A30,".","_"),"Open")</f>
        <v>Open</v>
      </c>
      <c r="C30" s="724" t="s">
        <v>672</v>
      </c>
      <c r="D30" s="449">
        <f>SUM(G73)</f>
        <v>0</v>
      </c>
      <c r="E30" s="155" t="s">
        <v>89</v>
      </c>
      <c r="F30" s="449">
        <f>MAX(0,MIN(F29*0.25,$D30))</f>
        <v>0</v>
      </c>
      <c r="G30" s="449">
        <f>MAX(0,MIN(G29*0.25,$D30))</f>
        <v>0</v>
      </c>
      <c r="I30" s="243" t="str">
        <f>IF(AND(I29&lt;&gt;"-",SUM(I28)&gt;0),1+SUM(I29)/SUM(I28),"-")</f>
        <v>-</v>
      </c>
      <c r="J30" s="243" t="str">
        <f>IF(AND(J29&lt;&gt;"-",SUM(J28)&gt;0),1+SUM(J29)/SUM(J28),"-")</f>
        <v>-</v>
      </c>
      <c r="K30" s="726" t="s">
        <v>608</v>
      </c>
      <c r="L30" s="726"/>
      <c r="M30" s="726"/>
      <c r="N30" s="726"/>
      <c r="O30" s="304" t="s">
        <v>89</v>
      </c>
      <c r="Q30" s="293">
        <f>MATCH(I31,Q31:Q34,0)</f>
        <v>1</v>
      </c>
    </row>
    <row r="31" spans="1:17" x14ac:dyDescent="0.25">
      <c r="A31" s="134" t="s">
        <v>823</v>
      </c>
      <c r="B31" s="135" t="str">
        <f>HYPERLINK(_TS_&amp;"#"&amp;SUBSTITUTE(A31,".","_"),"Open")</f>
        <v>Open</v>
      </c>
      <c r="C31" s="727" t="s">
        <v>1119</v>
      </c>
      <c r="D31" s="457">
        <f>SUM(H73)</f>
        <v>0</v>
      </c>
      <c r="E31" s="155" t="s">
        <v>89</v>
      </c>
      <c r="F31" s="449">
        <f>MAX(0,MIN(0.2*SUM(I28),SUM($D30)-SUM(F30)+$D31))</f>
        <v>0</v>
      </c>
      <c r="G31" s="449">
        <f>MAX(0,MIN(0.2*SUM(I32),SUM($D30)-SUM(G30)+$D31))</f>
        <v>0</v>
      </c>
      <c r="I31" s="1137" t="s">
        <v>521</v>
      </c>
      <c r="J31" s="1138"/>
      <c r="K31" s="245" t="s">
        <v>688</v>
      </c>
      <c r="L31" s="246"/>
      <c r="M31" s="246"/>
      <c r="N31" s="247"/>
      <c r="O31" s="304" t="s">
        <v>89</v>
      </c>
      <c r="Q31" s="231" t="s">
        <v>521</v>
      </c>
    </row>
    <row r="32" spans="1:17" x14ac:dyDescent="0.25">
      <c r="A32" s="134" t="s">
        <v>825</v>
      </c>
      <c r="B32" s="135" t="str">
        <f>HYPERLINK(_TS_&amp;"#"&amp;SUBSTITUTE(A32,".","_"),"Open")</f>
        <v>Open</v>
      </c>
      <c r="C32" s="728" t="s">
        <v>1120</v>
      </c>
      <c r="D32" s="458">
        <f>SUM(J68,H73)</f>
        <v>0</v>
      </c>
      <c r="E32" s="155" t="s">
        <v>89</v>
      </c>
      <c r="F32" s="449">
        <f>MAX(0,MIN(0.5*SUM(J28),$D30-F30+$D32))</f>
        <v>0</v>
      </c>
      <c r="G32" s="449">
        <f>MAX(0,MIN(0.5*SUM(J32),$D30-G30+$D32))</f>
        <v>0</v>
      </c>
      <c r="I32" s="895" t="str">
        <f>IF(J32&lt;&gt;"-",D264,"-")</f>
        <v>-</v>
      </c>
      <c r="J32" s="895" t="str">
        <f>IF(AND(I31&lt;&gt;"-",I31&lt;&gt;"none"),G309,"-")</f>
        <v>-</v>
      </c>
      <c r="K32" s="723" t="s">
        <v>670</v>
      </c>
      <c r="L32" s="723"/>
      <c r="M32" s="723"/>
      <c r="N32" s="723"/>
      <c r="O32" s="304" t="s">
        <v>89</v>
      </c>
      <c r="Q32" s="231" t="s">
        <v>537</v>
      </c>
    </row>
    <row r="33" spans="1:17" x14ac:dyDescent="0.25">
      <c r="A33" s="134" t="s">
        <v>822</v>
      </c>
      <c r="B33" s="135" t="str">
        <f>HYPERLINK(_TS_&amp;"#"&amp;SUBSTITUTE(A33,".","_"),"Open")</f>
        <v>Open</v>
      </c>
      <c r="C33" s="724" t="s">
        <v>1121</v>
      </c>
      <c r="D33" s="449">
        <f>SUM(I73,K68)</f>
        <v>0</v>
      </c>
      <c r="E33" s="155" t="s">
        <v>89</v>
      </c>
      <c r="F33" s="449">
        <f>MAX(0,MIN(0.5*SUM(J28)-SUM(F32), 0.15*SUM(J28),SUM(D33)))</f>
        <v>0</v>
      </c>
      <c r="G33" s="449">
        <f>MAX(0,MIN(0.5*SUM(J32)-SUM(G32), 0.15*SUM(J32),SUM(E33)))</f>
        <v>0</v>
      </c>
      <c r="I33" s="450" t="str">
        <f>IF(AND(G28&lt;&gt;"-",I32&lt;&gt;"-"),SUM(G28)-SUM(I32),"-")</f>
        <v>-</v>
      </c>
      <c r="J33" s="450" t="str">
        <f>IF(AND(G34&lt;&gt;"-",J32&lt;&gt;"-"),SUM(G34)-SUM(J32),"-")</f>
        <v>-</v>
      </c>
      <c r="K33" s="725" t="s">
        <v>605</v>
      </c>
      <c r="L33" s="725"/>
      <c r="M33" s="725"/>
      <c r="N33" s="725"/>
      <c r="O33" s="304" t="s">
        <v>89</v>
      </c>
      <c r="Q33" s="231" t="s">
        <v>838</v>
      </c>
    </row>
    <row r="34" spans="1:17" x14ac:dyDescent="0.25">
      <c r="C34" s="729" t="s">
        <v>610</v>
      </c>
      <c r="D34" s="441">
        <f>SUM(D29,D30,D32,D33)</f>
        <v>0</v>
      </c>
      <c r="E34" s="161" t="s">
        <v>89</v>
      </c>
      <c r="F34" s="896">
        <f>SUM(F29,F30,F32,F33)</f>
        <v>0</v>
      </c>
      <c r="G34" s="896">
        <f>SUM(G29,G30,G32,G33)</f>
        <v>0</v>
      </c>
      <c r="I34" s="243" t="str">
        <f>IF(AND(I33&lt;&gt;"-",SUM(I32)&gt;0),1+SUM(I33)/SUM(I32),"-")</f>
        <v>-</v>
      </c>
      <c r="J34" s="243" t="str">
        <f>IF(AND(J33&lt;&gt;"-",SUM(J32)&gt;0),1+SUM(J33)/SUM(J32),"-")</f>
        <v>-</v>
      </c>
      <c r="K34" s="726" t="s">
        <v>608</v>
      </c>
      <c r="L34" s="726"/>
      <c r="M34" s="726"/>
      <c r="N34" s="726"/>
      <c r="O34" s="304" t="s">
        <v>89</v>
      </c>
      <c r="Q34" s="288" t="s">
        <v>839</v>
      </c>
    </row>
    <row r="35" spans="1:17" x14ac:dyDescent="0.25">
      <c r="C35" s="4"/>
      <c r="D35" s="4"/>
      <c r="E35" s="4"/>
      <c r="F35" s="4"/>
      <c r="O35" s="304" t="s">
        <v>89</v>
      </c>
    </row>
    <row r="36" spans="1:17" x14ac:dyDescent="0.25">
      <c r="C36" s="1043" t="s">
        <v>879</v>
      </c>
      <c r="D36" s="1111" t="str">
        <f>$D$4</f>
        <v>Illeszkedési kiigazítás</v>
      </c>
      <c r="E36" s="4"/>
      <c r="F36" s="4"/>
      <c r="O36" s="304" t="s">
        <v>89</v>
      </c>
    </row>
    <row r="37" spans="1:17" x14ac:dyDescent="0.25">
      <c r="C37" s="1045"/>
      <c r="D37" s="1112"/>
      <c r="E37" s="4"/>
      <c r="F37" s="4"/>
      <c r="O37" s="304" t="s">
        <v>89</v>
      </c>
    </row>
    <row r="38" spans="1:17" x14ac:dyDescent="0.25">
      <c r="C38" s="4"/>
      <c r="D38" s="4"/>
      <c r="E38" s="4"/>
      <c r="F38" s="4"/>
      <c r="O38" s="304" t="s">
        <v>89</v>
      </c>
    </row>
    <row r="39" spans="1:17" x14ac:dyDescent="0.25">
      <c r="C39" s="154" t="s">
        <v>888</v>
      </c>
      <c r="D39" s="4"/>
      <c r="E39" s="4"/>
      <c r="F39" s="4"/>
      <c r="O39" s="304" t="s">
        <v>89</v>
      </c>
    </row>
    <row r="40" spans="1:17" x14ac:dyDescent="0.25">
      <c r="C40" s="154" t="s">
        <v>889</v>
      </c>
      <c r="D40" s="4"/>
      <c r="E40" s="4"/>
      <c r="F40" s="4"/>
      <c r="O40" s="304" t="s">
        <v>89</v>
      </c>
    </row>
    <row r="41" spans="1:17" x14ac:dyDescent="0.25">
      <c r="C41" s="303" t="s">
        <v>1077</v>
      </c>
      <c r="D41" s="4"/>
      <c r="E41" s="4"/>
      <c r="F41" s="4"/>
      <c r="O41" s="304" t="s">
        <v>89</v>
      </c>
    </row>
    <row r="42" spans="1:17" x14ac:dyDescent="0.25">
      <c r="C42" s="4"/>
      <c r="D42" s="4"/>
      <c r="E42" s="4"/>
      <c r="F42" s="4"/>
      <c r="O42" s="304" t="s">
        <v>89</v>
      </c>
    </row>
    <row r="43" spans="1:17" ht="38.25" x14ac:dyDescent="0.25">
      <c r="C43" s="908"/>
      <c r="D43" s="909"/>
      <c r="E43" s="909"/>
      <c r="F43" s="909"/>
      <c r="G43" s="909"/>
      <c r="H43" s="909"/>
      <c r="I43" s="910" t="s">
        <v>884</v>
      </c>
      <c r="J43" s="733" t="s">
        <v>743</v>
      </c>
      <c r="K43" s="733" t="s">
        <v>773</v>
      </c>
      <c r="L43" s="733" t="s">
        <v>744</v>
      </c>
      <c r="M43" s="733" t="s">
        <v>1166</v>
      </c>
      <c r="N43" s="733" t="s">
        <v>880</v>
      </c>
      <c r="O43" s="304" t="s">
        <v>89</v>
      </c>
    </row>
    <row r="44" spans="1:17" x14ac:dyDescent="0.25">
      <c r="C44" s="901" t="s">
        <v>760</v>
      </c>
      <c r="D44" s="902"/>
      <c r="E44" s="902"/>
      <c r="F44" s="902"/>
      <c r="G44" s="902"/>
      <c r="H44" s="902"/>
      <c r="I44" s="903"/>
      <c r="J44" s="868" t="s">
        <v>521</v>
      </c>
      <c r="K44" s="871"/>
      <c r="L44" s="868" t="s">
        <v>521</v>
      </c>
      <c r="M44" s="872"/>
      <c r="N44" s="868" t="s">
        <v>521</v>
      </c>
      <c r="O44" s="304" t="s">
        <v>89</v>
      </c>
    </row>
    <row r="45" spans="1:17" x14ac:dyDescent="0.25">
      <c r="C45" s="901" t="s">
        <v>761</v>
      </c>
      <c r="D45" s="902"/>
      <c r="E45" s="902"/>
      <c r="F45" s="902"/>
      <c r="G45" s="902"/>
      <c r="H45" s="902"/>
      <c r="I45" s="903"/>
      <c r="J45" s="868" t="s">
        <v>521</v>
      </c>
      <c r="K45" s="873"/>
      <c r="L45" s="868" t="s">
        <v>521</v>
      </c>
      <c r="M45" s="874" t="s">
        <v>521</v>
      </c>
      <c r="N45" s="868" t="s">
        <v>521</v>
      </c>
      <c r="O45" s="304" t="s">
        <v>89</v>
      </c>
    </row>
    <row r="46" spans="1:17" x14ac:dyDescent="0.25">
      <c r="C46" s="901" t="s">
        <v>878</v>
      </c>
      <c r="D46" s="902"/>
      <c r="E46" s="902"/>
      <c r="F46" s="902"/>
      <c r="G46" s="902"/>
      <c r="H46" s="902"/>
      <c r="I46" s="903"/>
      <c r="J46" s="868" t="s">
        <v>521</v>
      </c>
      <c r="K46" s="873"/>
      <c r="L46" s="868" t="s">
        <v>521</v>
      </c>
      <c r="M46" s="875"/>
      <c r="N46" s="868" t="s">
        <v>521</v>
      </c>
      <c r="O46" s="304" t="s">
        <v>89</v>
      </c>
    </row>
    <row r="47" spans="1:17" x14ac:dyDescent="0.25">
      <c r="C47" s="901" t="s">
        <v>876</v>
      </c>
      <c r="D47" s="902"/>
      <c r="E47" s="902"/>
      <c r="F47" s="902"/>
      <c r="G47" s="902"/>
      <c r="H47" s="902"/>
      <c r="I47" s="903"/>
      <c r="J47" s="868" t="s">
        <v>521</v>
      </c>
      <c r="K47" s="868" t="s">
        <v>521</v>
      </c>
      <c r="L47" s="868" t="s">
        <v>521</v>
      </c>
      <c r="M47" s="875"/>
      <c r="N47" s="868" t="s">
        <v>521</v>
      </c>
      <c r="O47" s="304" t="s">
        <v>89</v>
      </c>
    </row>
    <row r="48" spans="1:17" x14ac:dyDescent="0.25">
      <c r="C48" s="901" t="s">
        <v>877</v>
      </c>
      <c r="D48" s="902"/>
      <c r="E48" s="902"/>
      <c r="F48" s="902"/>
      <c r="G48" s="902"/>
      <c r="H48" s="902"/>
      <c r="I48" s="903"/>
      <c r="J48" s="868" t="s">
        <v>521</v>
      </c>
      <c r="K48" s="868" t="s">
        <v>521</v>
      </c>
      <c r="L48" s="868" t="s">
        <v>521</v>
      </c>
      <c r="M48" s="875"/>
      <c r="N48" s="868" t="s">
        <v>521</v>
      </c>
      <c r="O48" s="304" t="s">
        <v>89</v>
      </c>
    </row>
    <row r="49" spans="3:15" x14ac:dyDescent="0.25">
      <c r="C49" s="875" t="s">
        <v>883</v>
      </c>
      <c r="D49" s="881"/>
      <c r="E49" s="881"/>
      <c r="F49" s="881"/>
      <c r="G49" s="881"/>
      <c r="H49" s="881"/>
      <c r="I49" s="882"/>
      <c r="J49" s="868" t="s">
        <v>521</v>
      </c>
      <c r="K49" s="868" t="s">
        <v>521</v>
      </c>
      <c r="L49" s="868" t="s">
        <v>521</v>
      </c>
      <c r="M49" s="875"/>
      <c r="N49" s="868" t="s">
        <v>521</v>
      </c>
      <c r="O49" s="304" t="s">
        <v>89</v>
      </c>
    </row>
    <row r="50" spans="3:15" x14ac:dyDescent="0.25">
      <c r="C50" s="875" t="s">
        <v>882</v>
      </c>
      <c r="D50" s="881"/>
      <c r="E50" s="881"/>
      <c r="F50" s="881"/>
      <c r="G50" s="881"/>
      <c r="H50" s="881"/>
      <c r="I50" s="882"/>
      <c r="J50" s="868" t="s">
        <v>521</v>
      </c>
      <c r="K50" s="868" t="s">
        <v>521</v>
      </c>
      <c r="L50" s="868" t="s">
        <v>521</v>
      </c>
      <c r="M50" s="875"/>
      <c r="N50" s="868" t="s">
        <v>521</v>
      </c>
      <c r="O50" s="304" t="s">
        <v>89</v>
      </c>
    </row>
    <row r="51" spans="3:15" x14ac:dyDescent="0.25">
      <c r="C51" s="875" t="s">
        <v>887</v>
      </c>
      <c r="D51" s="881"/>
      <c r="E51" s="881"/>
      <c r="F51" s="881"/>
      <c r="G51" s="881"/>
      <c r="H51" s="881"/>
      <c r="I51" s="882"/>
      <c r="J51" s="868" t="s">
        <v>521</v>
      </c>
      <c r="K51" s="868" t="s">
        <v>521</v>
      </c>
      <c r="L51" s="868" t="s">
        <v>521</v>
      </c>
      <c r="M51" s="875"/>
      <c r="N51" s="868" t="s">
        <v>521</v>
      </c>
      <c r="O51" s="304" t="s">
        <v>89</v>
      </c>
    </row>
    <row r="52" spans="3:15" x14ac:dyDescent="0.25">
      <c r="C52" s="876" t="s">
        <v>1069</v>
      </c>
      <c r="D52" s="883"/>
      <c r="E52" s="883"/>
      <c r="F52" s="883"/>
      <c r="G52" s="883"/>
      <c r="H52" s="883"/>
      <c r="I52" s="884"/>
      <c r="J52" s="870" t="s">
        <v>521</v>
      </c>
      <c r="K52" s="870" t="s">
        <v>521</v>
      </c>
      <c r="L52" s="870" t="s">
        <v>521</v>
      </c>
      <c r="M52" s="876"/>
      <c r="N52" s="870" t="s">
        <v>521</v>
      </c>
      <c r="O52" s="304" t="s">
        <v>89</v>
      </c>
    </row>
    <row r="53" spans="3:15" x14ac:dyDescent="0.25">
      <c r="C53" s="4"/>
      <c r="D53" s="4"/>
      <c r="E53" s="4"/>
      <c r="F53" s="4"/>
      <c r="O53" s="304" t="s">
        <v>89</v>
      </c>
    </row>
    <row r="54" spans="3:15" x14ac:dyDescent="0.25">
      <c r="C54" s="4"/>
      <c r="D54" s="4"/>
      <c r="E54" s="4"/>
      <c r="F54" s="4"/>
      <c r="O54" s="304" t="s">
        <v>89</v>
      </c>
    </row>
    <row r="55" spans="3:15" x14ac:dyDescent="0.25">
      <c r="C55" s="4"/>
      <c r="D55" s="4"/>
      <c r="E55" s="4"/>
      <c r="F55" s="4"/>
      <c r="O55" s="304" t="s">
        <v>89</v>
      </c>
    </row>
    <row r="56" spans="3:15" x14ac:dyDescent="0.25">
      <c r="C56" s="4"/>
      <c r="D56" s="4"/>
      <c r="E56" s="4"/>
      <c r="F56" s="4"/>
      <c r="O56" s="304" t="s">
        <v>89</v>
      </c>
    </row>
    <row r="57" spans="3:15" x14ac:dyDescent="0.25">
      <c r="C57" s="4"/>
      <c r="D57" s="4"/>
      <c r="E57" s="4"/>
      <c r="F57" s="4"/>
      <c r="O57" s="304" t="s">
        <v>89</v>
      </c>
    </row>
    <row r="58" spans="3:15" x14ac:dyDescent="0.25">
      <c r="C58" s="4"/>
      <c r="D58" s="4"/>
      <c r="E58" s="4"/>
      <c r="F58" s="4"/>
      <c r="O58" s="304" t="s">
        <v>89</v>
      </c>
    </row>
    <row r="59" spans="3:15" x14ac:dyDescent="0.25">
      <c r="C59" s="4"/>
      <c r="D59" s="4"/>
      <c r="E59" s="4"/>
      <c r="F59" s="4"/>
      <c r="O59" s="304" t="s">
        <v>89</v>
      </c>
    </row>
    <row r="60" spans="3:15" x14ac:dyDescent="0.25">
      <c r="C60" s="4"/>
      <c r="D60" s="4"/>
      <c r="E60" s="4"/>
      <c r="F60" s="4"/>
      <c r="O60" s="304" t="s">
        <v>89</v>
      </c>
    </row>
    <row r="61" spans="3:15" x14ac:dyDescent="0.25">
      <c r="C61" s="4"/>
      <c r="D61" s="4"/>
      <c r="E61" s="4"/>
      <c r="F61" s="4"/>
      <c r="O61" s="304" t="s">
        <v>89</v>
      </c>
    </row>
    <row r="62" spans="3:15" x14ac:dyDescent="0.25">
      <c r="C62" s="4"/>
      <c r="D62" s="4"/>
      <c r="E62" s="4"/>
      <c r="F62" s="4"/>
      <c r="O62" s="304" t="s">
        <v>89</v>
      </c>
    </row>
    <row r="63" spans="3:15" x14ac:dyDescent="0.25">
      <c r="C63" s="1043" t="s">
        <v>1042</v>
      </c>
      <c r="D63" s="1111" t="str">
        <f>$D$4</f>
        <v>Illeszkedési kiigazítás</v>
      </c>
      <c r="E63" s="4"/>
      <c r="O63" s="304" t="s">
        <v>89</v>
      </c>
    </row>
    <row r="64" spans="3:15" x14ac:dyDescent="0.25">
      <c r="C64" s="1045"/>
      <c r="D64" s="1112"/>
      <c r="E64" s="4"/>
      <c r="O64" s="304" t="s">
        <v>89</v>
      </c>
    </row>
    <row r="65" spans="1:22" ht="6.75" customHeight="1" x14ac:dyDescent="0.25">
      <c r="C65" s="402"/>
      <c r="D65" s="402"/>
      <c r="E65" s="4"/>
      <c r="F65" s="4"/>
      <c r="O65" s="304" t="s">
        <v>89</v>
      </c>
    </row>
    <row r="66" spans="1:22" x14ac:dyDescent="0.25">
      <c r="C66" s="1139" t="s">
        <v>667</v>
      </c>
      <c r="D66" s="1141" t="s">
        <v>514</v>
      </c>
      <c r="E66" s="206" t="s">
        <v>89</v>
      </c>
      <c r="F66" s="971" t="s">
        <v>691</v>
      </c>
      <c r="G66" s="692"/>
      <c r="H66" s="692"/>
      <c r="I66" s="691"/>
      <c r="J66" s="971" t="s">
        <v>742</v>
      </c>
      <c r="K66" s="691"/>
      <c r="M66" s="735" t="s">
        <v>818</v>
      </c>
      <c r="N66" s="691"/>
      <c r="O66" s="304" t="s">
        <v>89</v>
      </c>
    </row>
    <row r="67" spans="1:22" x14ac:dyDescent="0.25">
      <c r="C67" s="1140"/>
      <c r="D67" s="1142"/>
      <c r="E67" s="206" t="s">
        <v>89</v>
      </c>
      <c r="F67" s="706" t="s">
        <v>644</v>
      </c>
      <c r="G67" s="706" t="s">
        <v>645</v>
      </c>
      <c r="H67" s="706" t="s">
        <v>131</v>
      </c>
      <c r="I67" s="706" t="s">
        <v>135</v>
      </c>
      <c r="J67" s="706" t="s">
        <v>131</v>
      </c>
      <c r="K67" s="706" t="s">
        <v>135</v>
      </c>
      <c r="M67" s="736" t="s">
        <v>819</v>
      </c>
      <c r="N67" s="737"/>
      <c r="O67" s="304" t="s">
        <v>89</v>
      </c>
    </row>
    <row r="68" spans="1:22" x14ac:dyDescent="0.25">
      <c r="C68" s="651" t="s">
        <v>642</v>
      </c>
      <c r="D68" s="385">
        <f>IF(COUNTIF(F68:I68,"&lt;&gt;-")&gt;0,SUM(F68:I68),"-")</f>
        <v>0</v>
      </c>
      <c r="E68" s="157" t="s">
        <v>89</v>
      </c>
      <c r="F68" s="385">
        <f>SUM('Shared-2013'!F68)</f>
        <v>0</v>
      </c>
      <c r="G68" s="385">
        <f>SUM('Shared-2013'!G68)</f>
        <v>0</v>
      </c>
      <c r="H68" s="385">
        <f>SUM('Shared-2013'!H68)</f>
        <v>0</v>
      </c>
      <c r="I68" s="385">
        <f>SUM('Shared-2013'!I68)</f>
        <v>0</v>
      </c>
      <c r="J68" s="385">
        <f>SUM('Shared-2013'!H73)</f>
        <v>0</v>
      </c>
      <c r="K68" s="385">
        <f>SUM('Shared-2013'!I73)</f>
        <v>0</v>
      </c>
      <c r="M68" s="738" t="s">
        <v>820</v>
      </c>
      <c r="N68" s="739"/>
      <c r="O68" s="304" t="s">
        <v>89</v>
      </c>
    </row>
    <row r="69" spans="1:22" x14ac:dyDescent="0.25">
      <c r="C69" s="943" t="s">
        <v>1118</v>
      </c>
      <c r="D69" s="449">
        <f>IF(COUNTIF(F69:F69,"&lt;&gt;-")&gt;0,SUM(F69:F69),"-")</f>
        <v>0</v>
      </c>
      <c r="E69" s="155"/>
      <c r="F69" s="444">
        <f>F68-SUM('Shared-2013'!F56:F58)+SUM('Shared-2013'!F67)+SUM(F21,F70,F71)</f>
        <v>0</v>
      </c>
      <c r="G69" s="416"/>
      <c r="H69" s="416"/>
      <c r="I69" s="416"/>
      <c r="J69" s="424"/>
      <c r="K69" s="425"/>
      <c r="M69" s="740" t="s">
        <v>821</v>
      </c>
      <c r="N69" s="448" t="str">
        <f>IF(I309&lt;&gt;"-",SUM(G11)-SUM(I309),"-")</f>
        <v>-</v>
      </c>
      <c r="O69" s="304" t="s">
        <v>89</v>
      </c>
    </row>
    <row r="70" spans="1:22" x14ac:dyDescent="0.25">
      <c r="C70" s="943" t="s">
        <v>708</v>
      </c>
      <c r="D70" s="416"/>
      <c r="E70" s="155" t="s">
        <v>89</v>
      </c>
      <c r="F70" s="444">
        <f>-SUM(I70)</f>
        <v>0</v>
      </c>
      <c r="G70" s="416"/>
      <c r="H70" s="416"/>
      <c r="I70" s="444">
        <f>SUM(M19)</f>
        <v>0</v>
      </c>
      <c r="J70" s="424"/>
      <c r="K70" s="425"/>
      <c r="O70" s="304"/>
    </row>
    <row r="71" spans="1:22" x14ac:dyDescent="0.25">
      <c r="A71" s="134" t="s">
        <v>826</v>
      </c>
      <c r="B71" s="135" t="str">
        <f>HYPERLINK(_TS_&amp;"#"&amp;SUBSTITUTE(A71,".","_"),"Open")</f>
        <v>Open</v>
      </c>
      <c r="C71" s="943" t="s">
        <v>643</v>
      </c>
      <c r="D71" s="449">
        <f>IF(COUNTIF(F71:F71,"&lt;&gt;-")&gt;0,SUM(F71:F71),"-")</f>
        <v>0</v>
      </c>
      <c r="E71" s="155" t="s">
        <v>89</v>
      </c>
      <c r="F71" s="444">
        <f>SUM(M88:M95)</f>
        <v>0</v>
      </c>
      <c r="G71" s="416"/>
      <c r="H71" s="416"/>
      <c r="I71" s="416"/>
      <c r="J71" s="424"/>
      <c r="K71" s="425"/>
      <c r="O71" s="304" t="s">
        <v>89</v>
      </c>
    </row>
    <row r="72" spans="1:22" x14ac:dyDescent="0.25">
      <c r="C72" s="944" t="s">
        <v>755</v>
      </c>
      <c r="D72" s="441">
        <f>IF(COUNTIF(F72:I72,"&lt;&gt;-")&gt;0,SUM(F72:I72),"-")</f>
        <v>0</v>
      </c>
      <c r="E72" s="161" t="s">
        <v>89</v>
      </c>
      <c r="F72" s="519" t="s">
        <v>521</v>
      </c>
      <c r="G72" s="519" t="s">
        <v>521</v>
      </c>
      <c r="H72" s="519" t="s">
        <v>521</v>
      </c>
      <c r="I72" s="440"/>
      <c r="J72" s="427"/>
      <c r="K72" s="428"/>
      <c r="O72" s="304" t="s">
        <v>89</v>
      </c>
    </row>
    <row r="73" spans="1:22" x14ac:dyDescent="0.25">
      <c r="C73" s="671" t="s">
        <v>1117</v>
      </c>
      <c r="D73" s="451">
        <f>IF(COUNTIF(F73:I73,"&lt;&gt;-")&gt;0,SUM(F73:I73),"-")</f>
        <v>0</v>
      </c>
      <c r="E73" s="206" t="s">
        <v>89</v>
      </c>
      <c r="F73" s="451">
        <f>SUM(F68,F21,F70:F72)</f>
        <v>0</v>
      </c>
      <c r="G73" s="451">
        <f>IF(COUNTIF(G68:G72,"&lt;&gt;-")&gt;0,SUM(G68:G72),"-")</f>
        <v>0</v>
      </c>
      <c r="H73" s="451">
        <f>IF(COUNTIF(H68:H72,"&lt;&gt;-")&gt;0,SUM(H68:H72),"-")</f>
        <v>0</v>
      </c>
      <c r="I73" s="451">
        <f>IF(COUNTIF(I68:I72,"&lt;&gt;-")&gt;0,SUM(I68:I72),"-")</f>
        <v>0</v>
      </c>
      <c r="O73" s="304" t="s">
        <v>89</v>
      </c>
    </row>
    <row r="74" spans="1:22" ht="6" customHeight="1" thickBot="1" x14ac:dyDescent="0.3">
      <c r="C74" s="237"/>
      <c r="D74" s="4"/>
      <c r="E74" s="4"/>
      <c r="F74" s="4"/>
      <c r="O74" s="304" t="s">
        <v>89</v>
      </c>
    </row>
    <row r="75" spans="1:22" x14ac:dyDescent="0.25">
      <c r="C75" s="267" t="s">
        <v>614</v>
      </c>
      <c r="D75" s="268"/>
      <c r="E75" s="268"/>
      <c r="F75" s="268"/>
      <c r="G75" s="268"/>
      <c r="H75" s="268"/>
      <c r="I75" s="268"/>
      <c r="J75" s="268"/>
      <c r="K75" s="268"/>
      <c r="L75" s="268"/>
      <c r="M75" s="268"/>
      <c r="N75" s="269"/>
      <c r="O75" s="304" t="s">
        <v>89</v>
      </c>
      <c r="P75" s="168" t="s">
        <v>730</v>
      </c>
      <c r="Q75" s="375" t="s">
        <v>545</v>
      </c>
      <c r="R75" s="1143" t="str">
        <f>Q77</f>
        <v>Market</v>
      </c>
      <c r="S75" s="1143" t="str">
        <f>Q78</f>
        <v>Default</v>
      </c>
      <c r="T75" s="1143" t="str">
        <f>Q79</f>
        <v>Life</v>
      </c>
      <c r="U75" s="1143" t="str">
        <f>Q80</f>
        <v>Health</v>
      </c>
      <c r="V75" s="1143" t="str">
        <f>Q81</f>
        <v>Non-Life</v>
      </c>
    </row>
    <row r="76" spans="1:22" ht="15" customHeight="1" thickBot="1" x14ac:dyDescent="0.3">
      <c r="A76" s="134" t="s">
        <v>764</v>
      </c>
      <c r="B76" s="135" t="str">
        <f>HYPERLINK(_TS_&amp;"#"&amp;SUBSTITUTE(A76,".","_"),"Open")</f>
        <v>Open</v>
      </c>
      <c r="C76" s="742" t="s">
        <v>601</v>
      </c>
      <c r="D76" s="743"/>
      <c r="E76" s="270" t="s">
        <v>89</v>
      </c>
      <c r="F76" s="744" t="s">
        <v>548</v>
      </c>
      <c r="G76" s="745" t="s">
        <v>549</v>
      </c>
      <c r="H76" s="745" t="s">
        <v>550</v>
      </c>
      <c r="I76" s="745" t="s">
        <v>551</v>
      </c>
      <c r="J76" s="745" t="s">
        <v>552</v>
      </c>
      <c r="K76" s="746" t="s">
        <v>553</v>
      </c>
      <c r="L76" s="747"/>
      <c r="M76" s="747"/>
      <c r="N76" s="748"/>
      <c r="O76" s="304" t="s">
        <v>89</v>
      </c>
      <c r="P76" s="134" t="s">
        <v>544</v>
      </c>
      <c r="Q76" s="376" t="s">
        <v>554</v>
      </c>
      <c r="R76" s="1144"/>
      <c r="S76" s="1144"/>
      <c r="T76" s="1144"/>
      <c r="U76" s="1144"/>
      <c r="V76" s="1144"/>
    </row>
    <row r="77" spans="1:22" ht="15.75" thickBot="1" x14ac:dyDescent="0.3">
      <c r="A77" s="134" t="s">
        <v>583</v>
      </c>
      <c r="B77" s="135" t="str">
        <f>HYPERLINK(_TS_&amp;"#"&amp;SUBSTITUTE(A77,".","_"),"Open")</f>
        <v>Open</v>
      </c>
      <c r="C77" s="749" t="s">
        <v>561</v>
      </c>
      <c r="D77" s="459">
        <f>SUM(D78,D81)</f>
        <v>0</v>
      </c>
      <c r="E77" s="209" t="s">
        <v>89</v>
      </c>
      <c r="F77" s="460">
        <f>SUM(F78:F83)</f>
        <v>0</v>
      </c>
      <c r="G77" s="429"/>
      <c r="H77" s="461">
        <f>SQRT(SUMPRODUCT(H79:H83,MMULT(Corr,H79:H83*1)))+H78</f>
        <v>0</v>
      </c>
      <c r="I77" s="430"/>
      <c r="J77" s="461">
        <f>SQRT(SUMPRODUCT(J79:J83,MMULT(Corr,J79:J83*1)))+J78</f>
        <v>0</v>
      </c>
      <c r="K77" s="750" t="s">
        <v>560</v>
      </c>
      <c r="L77" s="751"/>
      <c r="M77" s="751"/>
      <c r="N77" s="752"/>
      <c r="O77" s="304" t="s">
        <v>89</v>
      </c>
      <c r="P77" s="135" t="str">
        <f>HYPERLINK(_TS_&amp;"#"&amp;SUBSTITUTE(P76,".","_"),"Open")</f>
        <v>Open</v>
      </c>
      <c r="Q77" s="376" t="s">
        <v>546</v>
      </c>
      <c r="R77" s="169">
        <v>1</v>
      </c>
      <c r="S77" s="170">
        <f>R78</f>
        <v>0.25</v>
      </c>
      <c r="T77" s="170">
        <f>R79</f>
        <v>0.25</v>
      </c>
      <c r="U77" s="170">
        <f>R80</f>
        <v>0.25</v>
      </c>
      <c r="V77" s="171">
        <f>R81</f>
        <v>0.25</v>
      </c>
    </row>
    <row r="78" spans="1:22" ht="15.75" thickBot="1" x14ac:dyDescent="0.3">
      <c r="A78" s="134" t="s">
        <v>770</v>
      </c>
      <c r="B78" s="135" t="str">
        <f>HYPERLINK(_TS_&amp;"#"&amp;SUBSTITUTE(A78,".","_"),"Open")</f>
        <v>Open</v>
      </c>
      <c r="C78" s="753" t="s">
        <v>602</v>
      </c>
      <c r="D78" s="462">
        <f>-MAX(MIN(H77-J77,SUM(M20)),0)</f>
        <v>0</v>
      </c>
      <c r="E78" s="209" t="s">
        <v>89</v>
      </c>
      <c r="F78" s="463">
        <f>D111</f>
        <v>0</v>
      </c>
      <c r="G78" s="416"/>
      <c r="H78" s="444">
        <f>SUM(D111)</f>
        <v>0</v>
      </c>
      <c r="I78" s="416"/>
      <c r="J78" s="444">
        <f>H78</f>
        <v>0</v>
      </c>
      <c r="K78" s="754" t="s">
        <v>67</v>
      </c>
      <c r="L78" s="725"/>
      <c r="M78" s="725"/>
      <c r="N78" s="687"/>
      <c r="O78" s="304" t="s">
        <v>89</v>
      </c>
      <c r="P78" s="402"/>
      <c r="Q78" s="376" t="s">
        <v>547</v>
      </c>
      <c r="R78" s="172">
        <v>0.25</v>
      </c>
      <c r="S78" s="173">
        <v>1</v>
      </c>
      <c r="T78" s="174">
        <f>S79</f>
        <v>0.25</v>
      </c>
      <c r="U78" s="174">
        <f>S80</f>
        <v>0.25</v>
      </c>
      <c r="V78" s="175">
        <f>S81</f>
        <v>0.5</v>
      </c>
    </row>
    <row r="79" spans="1:22" ht="15.75" thickBot="1" x14ac:dyDescent="0.3">
      <c r="A79" s="134" t="s">
        <v>769</v>
      </c>
      <c r="B79" s="135" t="str">
        <f>HYPERLINK(_TS_&amp;"#"&amp;SUBSTITUTE(A79,".","_"),"Open")</f>
        <v>Open</v>
      </c>
      <c r="C79" s="755" t="s">
        <v>556</v>
      </c>
      <c r="D79" s="464">
        <f>SUM(H77,D78,H84)</f>
        <v>0</v>
      </c>
      <c r="E79" s="209" t="s">
        <v>89</v>
      </c>
      <c r="F79" s="444">
        <f>SUM(F101)</f>
        <v>0</v>
      </c>
      <c r="G79" s="444">
        <f t="shared" ref="G79:G84" si="1">SUM(H79)-SUM(F79)</f>
        <v>0</v>
      </c>
      <c r="H79" s="444">
        <f>SUM(H101)</f>
        <v>0</v>
      </c>
      <c r="I79" s="444">
        <f>MIN(SUM(J79)-SUM(H79),0)</f>
        <v>0</v>
      </c>
      <c r="J79" s="444">
        <f>SUM(J101)</f>
        <v>0</v>
      </c>
      <c r="K79" s="754" t="s">
        <v>164</v>
      </c>
      <c r="L79" s="725"/>
      <c r="M79" s="725"/>
      <c r="N79" s="687"/>
      <c r="O79" s="304" t="s">
        <v>89</v>
      </c>
      <c r="P79" s="402"/>
      <c r="Q79" s="176" t="s">
        <v>504</v>
      </c>
      <c r="R79" s="172">
        <v>0.25</v>
      </c>
      <c r="S79" s="173">
        <v>0.25</v>
      </c>
      <c r="T79" s="173">
        <v>1</v>
      </c>
      <c r="U79" s="174">
        <f>T80</f>
        <v>0.25</v>
      </c>
      <c r="V79" s="177">
        <f>T81</f>
        <v>0</v>
      </c>
    </row>
    <row r="80" spans="1:22" ht="15.75" thickBot="1" x14ac:dyDescent="0.3">
      <c r="C80" s="686" t="s">
        <v>558</v>
      </c>
      <c r="D80" s="530" t="s">
        <v>521</v>
      </c>
      <c r="E80" s="209" t="s">
        <v>89</v>
      </c>
      <c r="F80" s="463">
        <f>SUM(F111)</f>
        <v>0</v>
      </c>
      <c r="G80" s="444">
        <f t="shared" si="1"/>
        <v>0</v>
      </c>
      <c r="H80" s="444">
        <f>SUM(H111)</f>
        <v>0</v>
      </c>
      <c r="I80" s="444">
        <f>MIN(SUM(J80)-SUM(H80),0)</f>
        <v>0</v>
      </c>
      <c r="J80" s="444">
        <f>SUM(J111)</f>
        <v>0</v>
      </c>
      <c r="K80" s="756" t="s">
        <v>165</v>
      </c>
      <c r="L80" s="725"/>
      <c r="M80" s="725"/>
      <c r="N80" s="687"/>
      <c r="O80" s="304" t="s">
        <v>89</v>
      </c>
      <c r="P80" s="402"/>
      <c r="Q80" s="376" t="s">
        <v>515</v>
      </c>
      <c r="R80" s="172">
        <v>0.25</v>
      </c>
      <c r="S80" s="173">
        <v>0.25</v>
      </c>
      <c r="T80" s="173">
        <v>0.25</v>
      </c>
      <c r="U80" s="173">
        <v>1</v>
      </c>
      <c r="V80" s="177">
        <f>U81</f>
        <v>0</v>
      </c>
    </row>
    <row r="81" spans="1:22" ht="15.75" thickBot="1" x14ac:dyDescent="0.3">
      <c r="A81" s="134" t="s">
        <v>583</v>
      </c>
      <c r="B81" s="135" t="str">
        <f>HYPERLINK(_TS_&amp;"#"&amp;SUBSTITUTE(A81,".","_"),"Open")</f>
        <v>Open</v>
      </c>
      <c r="C81" s="753" t="s">
        <v>559</v>
      </c>
      <c r="D81" s="462" t="str">
        <f>IF(D80="-","-",MIN(0,(SUM(D80)-(SUM(F19)-SUM(D19)))))</f>
        <v>-</v>
      </c>
      <c r="E81" s="209" t="s">
        <v>89</v>
      </c>
      <c r="F81" s="463">
        <f>SUM(F116)</f>
        <v>0</v>
      </c>
      <c r="G81" s="444">
        <f t="shared" si="1"/>
        <v>0</v>
      </c>
      <c r="H81" s="444">
        <f>SUM(H116)</f>
        <v>0</v>
      </c>
      <c r="I81" s="444">
        <f>MIN(SUM(J81)-SUM(H81),0)</f>
        <v>0</v>
      </c>
      <c r="J81" s="444">
        <f>SUM(J116)</f>
        <v>0</v>
      </c>
      <c r="K81" s="756" t="s">
        <v>600</v>
      </c>
      <c r="L81" s="725"/>
      <c r="M81" s="725"/>
      <c r="N81" s="687"/>
      <c r="O81" s="304" t="s">
        <v>89</v>
      </c>
      <c r="P81" s="402"/>
      <c r="Q81" s="376" t="s">
        <v>516</v>
      </c>
      <c r="R81" s="178">
        <v>0.25</v>
      </c>
      <c r="S81" s="179">
        <v>0.5</v>
      </c>
      <c r="T81" s="179">
        <v>0</v>
      </c>
      <c r="U81" s="179">
        <v>0</v>
      </c>
      <c r="V81" s="180">
        <v>1</v>
      </c>
    </row>
    <row r="82" spans="1:22" x14ac:dyDescent="0.25">
      <c r="C82" s="431"/>
      <c r="D82" s="432"/>
      <c r="E82" s="294" t="s">
        <v>89</v>
      </c>
      <c r="F82" s="463">
        <f>SUM(F126)</f>
        <v>0</v>
      </c>
      <c r="G82" s="444">
        <f t="shared" si="1"/>
        <v>0</v>
      </c>
      <c r="H82" s="465">
        <f>SUM(H126)</f>
        <v>0</v>
      </c>
      <c r="I82" s="444">
        <f>MIN(SUM(J82)-SUM(H82),0)</f>
        <v>0</v>
      </c>
      <c r="J82" s="447">
        <f>SUM(J126)</f>
        <v>0</v>
      </c>
      <c r="K82" s="756" t="s">
        <v>555</v>
      </c>
      <c r="L82" s="725"/>
      <c r="M82" s="725"/>
      <c r="N82" s="687"/>
      <c r="O82" s="304" t="s">
        <v>89</v>
      </c>
    </row>
    <row r="83" spans="1:22" x14ac:dyDescent="0.25">
      <c r="C83" s="427"/>
      <c r="D83" s="428"/>
      <c r="E83" s="294" t="s">
        <v>89</v>
      </c>
      <c r="F83" s="463">
        <f>SUM(D126)</f>
        <v>0</v>
      </c>
      <c r="G83" s="444">
        <f t="shared" si="1"/>
        <v>0</v>
      </c>
      <c r="H83" s="465">
        <f>SUM(D126)</f>
        <v>0</v>
      </c>
      <c r="I83" s="416"/>
      <c r="J83" s="447">
        <f>SUM(H83)</f>
        <v>0</v>
      </c>
      <c r="K83" s="756" t="s">
        <v>166</v>
      </c>
      <c r="L83" s="725"/>
      <c r="M83" s="725"/>
      <c r="N83" s="687"/>
      <c r="O83" s="304" t="s">
        <v>89</v>
      </c>
    </row>
    <row r="84" spans="1:22" ht="15.75" thickBot="1" x14ac:dyDescent="0.3">
      <c r="C84" s="686" t="s">
        <v>604</v>
      </c>
      <c r="D84" s="757"/>
      <c r="E84" s="209" t="s">
        <v>89</v>
      </c>
      <c r="F84" s="466">
        <f>SUM(D116)</f>
        <v>0</v>
      </c>
      <c r="G84" s="467">
        <f t="shared" si="1"/>
        <v>0</v>
      </c>
      <c r="H84" s="468">
        <f>SUM(D116)</f>
        <v>0</v>
      </c>
      <c r="I84" s="433"/>
      <c r="J84" s="469">
        <f>H84</f>
        <v>0</v>
      </c>
      <c r="K84" s="758" t="s">
        <v>557</v>
      </c>
      <c r="L84" s="759"/>
      <c r="M84" s="759"/>
      <c r="N84" s="760"/>
      <c r="O84" s="304" t="s">
        <v>89</v>
      </c>
    </row>
    <row r="85" spans="1:22" x14ac:dyDescent="0.25">
      <c r="C85" s="688" t="s">
        <v>603</v>
      </c>
      <c r="D85" s="531" t="s">
        <v>521</v>
      </c>
      <c r="E85" s="271" t="s">
        <v>89</v>
      </c>
      <c r="F85" s="470">
        <f>SUM(L88:L95)</f>
        <v>0</v>
      </c>
      <c r="G85" s="532" t="s">
        <v>521</v>
      </c>
      <c r="H85" s="471">
        <f>SUM(J85)</f>
        <v>0</v>
      </c>
      <c r="I85" s="434"/>
      <c r="J85" s="472">
        <f>SUM(F85:G85)</f>
        <v>0</v>
      </c>
      <c r="K85" s="761" t="s">
        <v>611</v>
      </c>
      <c r="L85" s="762"/>
      <c r="M85" s="762"/>
      <c r="N85" s="763"/>
      <c r="O85" s="304" t="s">
        <v>89</v>
      </c>
    </row>
    <row r="86" spans="1:22" ht="6" customHeight="1" x14ac:dyDescent="0.25">
      <c r="C86" s="4"/>
      <c r="D86" s="4"/>
      <c r="E86" s="4"/>
      <c r="F86" s="4"/>
      <c r="O86" s="304" t="s">
        <v>89</v>
      </c>
    </row>
    <row r="87" spans="1:22" ht="36" x14ac:dyDescent="0.25">
      <c r="C87" s="1147" t="s">
        <v>998</v>
      </c>
      <c r="D87" s="1148"/>
      <c r="E87" s="307" t="s">
        <v>89</v>
      </c>
      <c r="F87" s="764" t="s">
        <v>993</v>
      </c>
      <c r="G87" s="764" t="s">
        <v>165</v>
      </c>
      <c r="H87" s="764" t="s">
        <v>994</v>
      </c>
      <c r="I87" s="764" t="s">
        <v>555</v>
      </c>
      <c r="J87" s="764" t="s">
        <v>995</v>
      </c>
      <c r="K87" s="764" t="s">
        <v>557</v>
      </c>
      <c r="L87" s="764" t="s">
        <v>996</v>
      </c>
      <c r="M87" s="764" t="s">
        <v>997</v>
      </c>
      <c r="O87" s="304" t="s">
        <v>89</v>
      </c>
    </row>
    <row r="88" spans="1:22" x14ac:dyDescent="0.25">
      <c r="C88" s="977" t="s">
        <v>986</v>
      </c>
      <c r="D88" s="533"/>
      <c r="E88" s="304" t="s">
        <v>89</v>
      </c>
      <c r="F88" s="528" t="s">
        <v>521</v>
      </c>
      <c r="G88" s="528" t="s">
        <v>521</v>
      </c>
      <c r="H88" s="528" t="s">
        <v>521</v>
      </c>
      <c r="I88" s="528" t="s">
        <v>521</v>
      </c>
      <c r="J88" s="528" t="s">
        <v>521</v>
      </c>
      <c r="K88" s="528" t="s">
        <v>521</v>
      </c>
      <c r="L88" s="528" t="s">
        <v>521</v>
      </c>
      <c r="M88" s="528" t="s">
        <v>521</v>
      </c>
      <c r="O88" s="304" t="s">
        <v>89</v>
      </c>
    </row>
    <row r="89" spans="1:22" x14ac:dyDescent="0.25">
      <c r="C89" s="977" t="s">
        <v>985</v>
      </c>
      <c r="D89" s="533"/>
      <c r="E89" s="304" t="s">
        <v>89</v>
      </c>
      <c r="F89" s="514" t="s">
        <v>521</v>
      </c>
      <c r="G89" s="514" t="s">
        <v>521</v>
      </c>
      <c r="H89" s="514" t="s">
        <v>521</v>
      </c>
      <c r="I89" s="514" t="s">
        <v>521</v>
      </c>
      <c r="J89" s="514" t="s">
        <v>521</v>
      </c>
      <c r="K89" s="514" t="s">
        <v>521</v>
      </c>
      <c r="L89" s="514" t="s">
        <v>521</v>
      </c>
      <c r="M89" s="514" t="s">
        <v>521</v>
      </c>
      <c r="O89" s="304" t="s">
        <v>89</v>
      </c>
    </row>
    <row r="90" spans="1:22" x14ac:dyDescent="0.25">
      <c r="C90" s="977" t="s">
        <v>987</v>
      </c>
      <c r="D90" s="533"/>
      <c r="E90" s="304" t="s">
        <v>89</v>
      </c>
      <c r="F90" s="514" t="s">
        <v>521</v>
      </c>
      <c r="G90" s="514" t="s">
        <v>521</v>
      </c>
      <c r="H90" s="514" t="s">
        <v>521</v>
      </c>
      <c r="I90" s="514" t="s">
        <v>521</v>
      </c>
      <c r="J90" s="514" t="s">
        <v>521</v>
      </c>
      <c r="K90" s="514" t="s">
        <v>521</v>
      </c>
      <c r="L90" s="514" t="s">
        <v>521</v>
      </c>
      <c r="M90" s="514" t="s">
        <v>521</v>
      </c>
      <c r="O90" s="304" t="s">
        <v>89</v>
      </c>
    </row>
    <row r="91" spans="1:22" x14ac:dyDescent="0.25">
      <c r="C91" s="977" t="s">
        <v>988</v>
      </c>
      <c r="D91" s="533"/>
      <c r="E91" s="304" t="s">
        <v>89</v>
      </c>
      <c r="F91" s="514" t="s">
        <v>521</v>
      </c>
      <c r="G91" s="514" t="s">
        <v>521</v>
      </c>
      <c r="H91" s="514" t="s">
        <v>521</v>
      </c>
      <c r="I91" s="514" t="s">
        <v>521</v>
      </c>
      <c r="J91" s="514" t="s">
        <v>521</v>
      </c>
      <c r="K91" s="514" t="s">
        <v>521</v>
      </c>
      <c r="L91" s="514" t="s">
        <v>521</v>
      </c>
      <c r="M91" s="514" t="s">
        <v>521</v>
      </c>
      <c r="O91" s="304" t="s">
        <v>89</v>
      </c>
    </row>
    <row r="92" spans="1:22" x14ac:dyDescent="0.25">
      <c r="C92" s="977" t="s">
        <v>989</v>
      </c>
      <c r="D92" s="533"/>
      <c r="E92" s="304" t="s">
        <v>89</v>
      </c>
      <c r="F92" s="514" t="s">
        <v>521</v>
      </c>
      <c r="G92" s="514" t="s">
        <v>521</v>
      </c>
      <c r="H92" s="514" t="s">
        <v>521</v>
      </c>
      <c r="I92" s="514" t="s">
        <v>521</v>
      </c>
      <c r="J92" s="514" t="s">
        <v>521</v>
      </c>
      <c r="K92" s="514" t="s">
        <v>521</v>
      </c>
      <c r="L92" s="514" t="s">
        <v>521</v>
      </c>
      <c r="M92" s="514" t="s">
        <v>521</v>
      </c>
      <c r="O92" s="304" t="s">
        <v>89</v>
      </c>
    </row>
    <row r="93" spans="1:22" x14ac:dyDescent="0.25">
      <c r="C93" s="977" t="s">
        <v>990</v>
      </c>
      <c r="D93" s="533"/>
      <c r="E93" s="304" t="s">
        <v>89</v>
      </c>
      <c r="F93" s="514" t="s">
        <v>521</v>
      </c>
      <c r="G93" s="514" t="s">
        <v>521</v>
      </c>
      <c r="H93" s="514" t="s">
        <v>521</v>
      </c>
      <c r="I93" s="514" t="s">
        <v>521</v>
      </c>
      <c r="J93" s="514" t="s">
        <v>521</v>
      </c>
      <c r="K93" s="514" t="s">
        <v>521</v>
      </c>
      <c r="L93" s="514" t="s">
        <v>521</v>
      </c>
      <c r="M93" s="514" t="s">
        <v>521</v>
      </c>
      <c r="O93" s="304" t="s">
        <v>89</v>
      </c>
    </row>
    <row r="94" spans="1:22" x14ac:dyDescent="0.25">
      <c r="C94" s="977" t="s">
        <v>991</v>
      </c>
      <c r="D94" s="533"/>
      <c r="E94" s="304" t="s">
        <v>89</v>
      </c>
      <c r="F94" s="514" t="s">
        <v>521</v>
      </c>
      <c r="G94" s="514" t="s">
        <v>521</v>
      </c>
      <c r="H94" s="514" t="s">
        <v>521</v>
      </c>
      <c r="I94" s="514" t="s">
        <v>521</v>
      </c>
      <c r="J94" s="514" t="s">
        <v>521</v>
      </c>
      <c r="K94" s="514" t="s">
        <v>521</v>
      </c>
      <c r="L94" s="514" t="s">
        <v>521</v>
      </c>
      <c r="M94" s="514" t="s">
        <v>521</v>
      </c>
      <c r="O94" s="304" t="s">
        <v>89</v>
      </c>
    </row>
    <row r="95" spans="1:22" x14ac:dyDescent="0.25">
      <c r="C95" s="765" t="s">
        <v>992</v>
      </c>
      <c r="D95" s="765"/>
      <c r="E95" s="308" t="s">
        <v>89</v>
      </c>
      <c r="F95" s="519" t="s">
        <v>521</v>
      </c>
      <c r="G95" s="519" t="s">
        <v>521</v>
      </c>
      <c r="H95" s="519" t="s">
        <v>521</v>
      </c>
      <c r="I95" s="519" t="s">
        <v>521</v>
      </c>
      <c r="J95" s="519" t="s">
        <v>521</v>
      </c>
      <c r="K95" s="519" t="s">
        <v>521</v>
      </c>
      <c r="L95" s="519" t="s">
        <v>521</v>
      </c>
      <c r="M95" s="519" t="s">
        <v>521</v>
      </c>
      <c r="O95" s="304" t="s">
        <v>89</v>
      </c>
    </row>
    <row r="96" spans="1:22" ht="8.25" customHeight="1" x14ac:dyDescent="0.25">
      <c r="C96" s="4"/>
      <c r="D96" s="4"/>
      <c r="E96" s="4"/>
      <c r="F96" s="4"/>
      <c r="O96" s="304" t="s">
        <v>89</v>
      </c>
    </row>
    <row r="97" spans="1:24" x14ac:dyDescent="0.25">
      <c r="C97" s="1043" t="s">
        <v>1043</v>
      </c>
      <c r="D97" s="1111" t="str">
        <f>$D$4</f>
        <v>Illeszkedési kiigazítás</v>
      </c>
      <c r="E97" s="402"/>
      <c r="F97" s="402"/>
      <c r="G97" s="402"/>
      <c r="I97" s="402"/>
      <c r="J97" s="402"/>
      <c r="K97" s="402"/>
      <c r="L97" s="402"/>
      <c r="M97" s="402"/>
      <c r="N97" s="402"/>
      <c r="O97" s="304" t="s">
        <v>89</v>
      </c>
    </row>
    <row r="98" spans="1:24" x14ac:dyDescent="0.25">
      <c r="C98" s="1045"/>
      <c r="D98" s="1112"/>
      <c r="E98" s="402"/>
      <c r="F98" s="402"/>
      <c r="G98" s="402"/>
      <c r="I98" s="402"/>
      <c r="J98" s="402"/>
      <c r="K98" s="402"/>
      <c r="L98" s="402"/>
      <c r="M98" s="402"/>
      <c r="N98" s="402"/>
      <c r="O98" s="304" t="s">
        <v>89</v>
      </c>
    </row>
    <row r="99" spans="1:24" ht="6.75" customHeight="1" thickBot="1" x14ac:dyDescent="0.3">
      <c r="C99" s="402"/>
      <c r="D99" s="402"/>
      <c r="E99" s="402"/>
      <c r="F99" s="402"/>
      <c r="G99" s="402"/>
      <c r="H99" s="402"/>
      <c r="I99" s="402"/>
      <c r="J99" s="402"/>
      <c r="K99" s="402"/>
      <c r="L99" s="402"/>
      <c r="M99" s="402"/>
      <c r="N99" s="402"/>
      <c r="O99" s="304" t="s">
        <v>89</v>
      </c>
    </row>
    <row r="100" spans="1:24" ht="15" customHeight="1" x14ac:dyDescent="0.25">
      <c r="C100" s="285" t="s">
        <v>778</v>
      </c>
      <c r="D100" s="182"/>
      <c r="E100" s="402"/>
      <c r="F100" s="695" t="s">
        <v>548</v>
      </c>
      <c r="G100" s="695" t="s">
        <v>549</v>
      </c>
      <c r="H100" s="695" t="s">
        <v>550</v>
      </c>
      <c r="I100" s="695" t="s">
        <v>551</v>
      </c>
      <c r="J100" s="695" t="s">
        <v>552</v>
      </c>
      <c r="K100" s="165" t="s">
        <v>563</v>
      </c>
      <c r="L100" s="166"/>
      <c r="M100" s="166"/>
      <c r="N100" s="167"/>
      <c r="O100" s="304" t="s">
        <v>89</v>
      </c>
      <c r="P100" s="168" t="s">
        <v>148</v>
      </c>
      <c r="Q100" s="375" t="s">
        <v>545</v>
      </c>
      <c r="R100" s="1145" t="str">
        <f>Q102</f>
        <v>Interest</v>
      </c>
      <c r="S100" s="1145" t="str">
        <f>Q103</f>
        <v xml:space="preserve">Equity </v>
      </c>
      <c r="T100" s="1145" t="str">
        <f>Q104</f>
        <v>Property</v>
      </c>
      <c r="U100" s="1145" t="str">
        <f>Q105</f>
        <v>Spread</v>
      </c>
      <c r="V100" s="1145" t="str">
        <f>Q106</f>
        <v>Currency</v>
      </c>
      <c r="W100" s="1145" t="str">
        <f>Q107</f>
        <v>Concentration</v>
      </c>
      <c r="X100" s="1145" t="str">
        <f>Q108</f>
        <v>Counter-cyclical premium</v>
      </c>
    </row>
    <row r="101" spans="1:24" ht="15.75" thickBot="1" x14ac:dyDescent="0.3">
      <c r="C101" s="651" t="s">
        <v>779</v>
      </c>
      <c r="D101" s="528" t="s">
        <v>521</v>
      </c>
      <c r="E101" s="402"/>
      <c r="F101" s="453">
        <f>SUM(H102:H108)</f>
        <v>0</v>
      </c>
      <c r="G101" s="453">
        <f>SUM(H101)-SUM(F101)</f>
        <v>0</v>
      </c>
      <c r="H101" s="448">
        <f>SQRT(SUMPRODUCT(H102:H108,MMULT(CorrMkt,H102:H108*1)))</f>
        <v>0</v>
      </c>
      <c r="I101" s="448">
        <f>SUM(H101)-SUM(J101)</f>
        <v>0</v>
      </c>
      <c r="J101" s="448">
        <f>SQRT(SUMPRODUCT(J102:J108,MMULT(CorrMkt,J102:J108*1)))</f>
        <v>0</v>
      </c>
      <c r="K101" s="766" t="s">
        <v>567</v>
      </c>
      <c r="L101" s="723"/>
      <c r="M101" s="723"/>
      <c r="N101" s="685"/>
      <c r="O101" s="304" t="s">
        <v>89</v>
      </c>
      <c r="P101" s="134" t="s">
        <v>612</v>
      </c>
      <c r="Q101" s="376" t="s">
        <v>554</v>
      </c>
      <c r="R101" s="1146"/>
      <c r="S101" s="1146"/>
      <c r="T101" s="1146"/>
      <c r="U101" s="1146"/>
      <c r="V101" s="1146"/>
      <c r="W101" s="1146"/>
      <c r="X101" s="1146"/>
    </row>
    <row r="102" spans="1:24" ht="15.75" thickBot="1" x14ac:dyDescent="0.3">
      <c r="C102" s="693" t="s">
        <v>780</v>
      </c>
      <c r="D102" s="519" t="s">
        <v>521</v>
      </c>
      <c r="E102" s="402"/>
      <c r="F102" s="767" t="s">
        <v>568</v>
      </c>
      <c r="G102" s="183">
        <f>IF(J137="Up",0%,50%)</f>
        <v>0.5</v>
      </c>
      <c r="H102" s="444">
        <f>SUM(J136)</f>
        <v>0</v>
      </c>
      <c r="I102" s="444">
        <f>SUM(J102)-SUM(H102)</f>
        <v>0</v>
      </c>
      <c r="J102" s="444">
        <f>SUM(L136)</f>
        <v>0</v>
      </c>
      <c r="K102" s="768" t="s">
        <v>569</v>
      </c>
      <c r="L102" s="769"/>
      <c r="M102" s="769"/>
      <c r="N102" s="607"/>
      <c r="O102" s="304" t="s">
        <v>89</v>
      </c>
      <c r="P102" s="135" t="str">
        <f>HYPERLINK(_TS_&amp;"#"&amp;SUBSTITUTE(P101,".","_"),"Open")</f>
        <v>Open</v>
      </c>
      <c r="Q102" s="184" t="s">
        <v>149</v>
      </c>
      <c r="R102" s="185">
        <v>1</v>
      </c>
      <c r="S102" s="186">
        <f>R103</f>
        <v>0.5</v>
      </c>
      <c r="T102" s="186">
        <f>S102</f>
        <v>0.5</v>
      </c>
      <c r="U102" s="186">
        <f>T102</f>
        <v>0.5</v>
      </c>
      <c r="V102" s="187">
        <f>R106</f>
        <v>0.25</v>
      </c>
      <c r="W102" s="187">
        <f>R107</f>
        <v>0</v>
      </c>
      <c r="X102" s="188">
        <f>R108</f>
        <v>0</v>
      </c>
    </row>
    <row r="103" spans="1:24" ht="15.75" thickBot="1" x14ac:dyDescent="0.3">
      <c r="E103" s="402"/>
      <c r="F103" s="424"/>
      <c r="G103" s="435"/>
      <c r="H103" s="444">
        <f>SUM(J140)</f>
        <v>0</v>
      </c>
      <c r="I103" s="444">
        <f t="shared" ref="I103:I107" si="2">SUM(J103)-SUM(H103)</f>
        <v>0</v>
      </c>
      <c r="J103" s="444">
        <f>SUM(L140)</f>
        <v>0</v>
      </c>
      <c r="K103" s="756" t="s">
        <v>570</v>
      </c>
      <c r="L103" s="734"/>
      <c r="M103" s="734"/>
      <c r="N103" s="770"/>
      <c r="O103" s="304" t="s">
        <v>89</v>
      </c>
      <c r="P103" s="402"/>
      <c r="Q103" s="184" t="s">
        <v>150</v>
      </c>
      <c r="R103" s="190">
        <f>R109</f>
        <v>0.5</v>
      </c>
      <c r="S103" s="302">
        <v>1</v>
      </c>
      <c r="T103" s="192">
        <f>S104</f>
        <v>0.75</v>
      </c>
      <c r="U103" s="192">
        <f>S105</f>
        <v>0.75</v>
      </c>
      <c r="V103" s="192">
        <f>S106</f>
        <v>0.25</v>
      </c>
      <c r="W103" s="192">
        <f>S107</f>
        <v>0</v>
      </c>
      <c r="X103" s="193">
        <f>S108</f>
        <v>0</v>
      </c>
    </row>
    <row r="104" spans="1:24" ht="15.75" thickBot="1" x14ac:dyDescent="0.3">
      <c r="C104" s="4"/>
      <c r="D104" s="4"/>
      <c r="E104" s="402"/>
      <c r="F104" s="424"/>
      <c r="G104" s="435"/>
      <c r="H104" s="444">
        <f>SUM(J147)</f>
        <v>0</v>
      </c>
      <c r="I104" s="444">
        <f t="shared" si="2"/>
        <v>0</v>
      </c>
      <c r="J104" s="444">
        <f>SUM(L147)</f>
        <v>0</v>
      </c>
      <c r="K104" s="756" t="s">
        <v>571</v>
      </c>
      <c r="L104" s="734"/>
      <c r="M104" s="734"/>
      <c r="N104" s="770"/>
      <c r="O104" s="304" t="s">
        <v>89</v>
      </c>
      <c r="P104" s="402"/>
      <c r="Q104" s="184" t="s">
        <v>57</v>
      </c>
      <c r="R104" s="190">
        <f>R103</f>
        <v>0.5</v>
      </c>
      <c r="S104" s="302">
        <v>0.75</v>
      </c>
      <c r="T104" s="302">
        <v>1</v>
      </c>
      <c r="U104" s="192">
        <f>T105</f>
        <v>0.5</v>
      </c>
      <c r="V104" s="192">
        <f>T106</f>
        <v>0.25</v>
      </c>
      <c r="W104" s="192">
        <f>T107</f>
        <v>0</v>
      </c>
      <c r="X104" s="193">
        <f>U108</f>
        <v>0</v>
      </c>
    </row>
    <row r="105" spans="1:24" ht="15.75" thickBot="1" x14ac:dyDescent="0.3">
      <c r="C105" s="4"/>
      <c r="D105" s="4"/>
      <c r="E105" s="402"/>
      <c r="F105" s="424"/>
      <c r="G105" s="435"/>
      <c r="H105" s="444">
        <f>SUM(J148)</f>
        <v>0</v>
      </c>
      <c r="I105" s="444">
        <f t="shared" si="2"/>
        <v>0</v>
      </c>
      <c r="J105" s="444">
        <f>SUM(L148)</f>
        <v>0</v>
      </c>
      <c r="K105" s="756" t="s">
        <v>572</v>
      </c>
      <c r="L105" s="734"/>
      <c r="M105" s="734"/>
      <c r="N105" s="770"/>
      <c r="O105" s="304" t="s">
        <v>89</v>
      </c>
      <c r="P105" s="402"/>
      <c r="Q105" s="184" t="s">
        <v>58</v>
      </c>
      <c r="R105" s="190">
        <f>R104</f>
        <v>0.5</v>
      </c>
      <c r="S105" s="302">
        <v>0.75</v>
      </c>
      <c r="T105" s="302">
        <v>0.5</v>
      </c>
      <c r="U105" s="302">
        <v>1</v>
      </c>
      <c r="V105" s="192">
        <f>U106</f>
        <v>0.25</v>
      </c>
      <c r="W105" s="192">
        <f>U107</f>
        <v>0</v>
      </c>
      <c r="X105" s="193">
        <f>U108</f>
        <v>0</v>
      </c>
    </row>
    <row r="106" spans="1:24" ht="15.75" thickBot="1" x14ac:dyDescent="0.3">
      <c r="C106" s="4"/>
      <c r="D106" s="4"/>
      <c r="E106" s="402"/>
      <c r="F106" s="424"/>
      <c r="G106" s="435"/>
      <c r="H106" s="444">
        <f>SUM(J155)</f>
        <v>0</v>
      </c>
      <c r="I106" s="444">
        <f t="shared" si="2"/>
        <v>0</v>
      </c>
      <c r="J106" s="444">
        <f>SUM(L155)</f>
        <v>0</v>
      </c>
      <c r="K106" s="756" t="s">
        <v>573</v>
      </c>
      <c r="L106" s="734"/>
      <c r="M106" s="734"/>
      <c r="N106" s="770"/>
      <c r="O106" s="304" t="s">
        <v>89</v>
      </c>
      <c r="P106" s="402"/>
      <c r="Q106" s="184" t="s">
        <v>37</v>
      </c>
      <c r="R106" s="194">
        <v>0.25</v>
      </c>
      <c r="S106" s="302">
        <v>0.25</v>
      </c>
      <c r="T106" s="302">
        <v>0.25</v>
      </c>
      <c r="U106" s="302">
        <v>0.25</v>
      </c>
      <c r="V106" s="302">
        <v>1</v>
      </c>
      <c r="W106" s="192">
        <f>V107</f>
        <v>0</v>
      </c>
      <c r="X106" s="193">
        <f>V108</f>
        <v>0</v>
      </c>
    </row>
    <row r="107" spans="1:24" ht="15.75" thickBot="1" x14ac:dyDescent="0.3">
      <c r="E107" s="402"/>
      <c r="F107" s="424"/>
      <c r="G107" s="435"/>
      <c r="H107" s="444">
        <f>SUM(J158)</f>
        <v>0</v>
      </c>
      <c r="I107" s="444">
        <f t="shared" si="2"/>
        <v>0</v>
      </c>
      <c r="J107" s="444">
        <f>SUM(L158)</f>
        <v>0</v>
      </c>
      <c r="K107" s="756" t="s">
        <v>574</v>
      </c>
      <c r="L107" s="734"/>
      <c r="M107" s="734"/>
      <c r="N107" s="770"/>
      <c r="O107" s="304" t="s">
        <v>89</v>
      </c>
      <c r="P107" s="402"/>
      <c r="Q107" s="195" t="s">
        <v>59</v>
      </c>
      <c r="R107" s="194">
        <v>0</v>
      </c>
      <c r="S107" s="302">
        <v>0</v>
      </c>
      <c r="T107" s="302">
        <v>0</v>
      </c>
      <c r="U107" s="302">
        <v>0</v>
      </c>
      <c r="V107" s="302">
        <v>0</v>
      </c>
      <c r="W107" s="302">
        <v>1</v>
      </c>
      <c r="X107" s="196">
        <f>W108</f>
        <v>0</v>
      </c>
    </row>
    <row r="108" spans="1:24" ht="15.75" thickBot="1" x14ac:dyDescent="0.3">
      <c r="C108" s="4"/>
      <c r="D108" s="4"/>
      <c r="E108" s="402"/>
      <c r="F108" s="427"/>
      <c r="G108" s="436"/>
      <c r="H108" s="1032">
        <f>SUM(J159)</f>
        <v>0</v>
      </c>
      <c r="I108" s="1032">
        <f>SUM(K159)</f>
        <v>0</v>
      </c>
      <c r="J108" s="1032">
        <f>SUM(L159)</f>
        <v>0</v>
      </c>
      <c r="K108" s="771" t="s">
        <v>1165</v>
      </c>
      <c r="L108" s="772"/>
      <c r="M108" s="772"/>
      <c r="N108" s="773"/>
      <c r="O108" s="304" t="s">
        <v>89</v>
      </c>
      <c r="P108" s="402"/>
      <c r="Q108" s="195" t="s">
        <v>564</v>
      </c>
      <c r="R108" s="197">
        <v>0</v>
      </c>
      <c r="S108" s="198">
        <v>0</v>
      </c>
      <c r="T108" s="198">
        <v>0</v>
      </c>
      <c r="U108" s="198">
        <v>0</v>
      </c>
      <c r="V108" s="199">
        <v>0</v>
      </c>
      <c r="W108" s="199">
        <v>0</v>
      </c>
      <c r="X108" s="200">
        <v>1</v>
      </c>
    </row>
    <row r="109" spans="1:24" ht="6.75" customHeight="1" x14ac:dyDescent="0.25">
      <c r="C109" s="4"/>
      <c r="D109" s="4"/>
      <c r="E109" s="402"/>
      <c r="F109" s="402"/>
      <c r="G109" s="402"/>
      <c r="H109" s="402"/>
      <c r="I109" s="402"/>
      <c r="J109" s="402"/>
      <c r="K109" s="377"/>
      <c r="L109" s="377"/>
      <c r="M109" s="377"/>
      <c r="N109" s="378"/>
      <c r="O109" s="304" t="s">
        <v>89</v>
      </c>
      <c r="Q109" s="210" t="s">
        <v>613</v>
      </c>
      <c r="R109" s="211">
        <f>G102</f>
        <v>0.5</v>
      </c>
    </row>
    <row r="110" spans="1:24" ht="15.75" thickBot="1" x14ac:dyDescent="0.3">
      <c r="C110" s="181" t="s">
        <v>562</v>
      </c>
      <c r="D110" s="182"/>
      <c r="E110" s="402"/>
      <c r="F110" s="695" t="s">
        <v>548</v>
      </c>
      <c r="G110" s="695" t="s">
        <v>549</v>
      </c>
      <c r="H110" s="695" t="s">
        <v>550</v>
      </c>
      <c r="I110" s="695" t="s">
        <v>551</v>
      </c>
      <c r="J110" s="695" t="s">
        <v>552</v>
      </c>
      <c r="K110" s="189" t="s">
        <v>580</v>
      </c>
      <c r="L110" s="201"/>
      <c r="M110" s="201"/>
      <c r="N110" s="202"/>
      <c r="O110" s="304" t="s">
        <v>89</v>
      </c>
    </row>
    <row r="111" spans="1:24" ht="15.75" thickBot="1" x14ac:dyDescent="0.3">
      <c r="A111" s="134" t="s">
        <v>565</v>
      </c>
      <c r="B111" s="135" t="str">
        <f>HYPERLINK(_TS_&amp;"#"&amp;SUBSTITUTE(A111,".","_"),"Open")</f>
        <v>Open</v>
      </c>
      <c r="C111" s="671" t="s">
        <v>566</v>
      </c>
      <c r="D111" s="386">
        <f>SUM('Shared-2013'!D81)</f>
        <v>0</v>
      </c>
      <c r="E111" s="402"/>
      <c r="F111" s="453">
        <f>SUM(H112:H113)</f>
        <v>0</v>
      </c>
      <c r="G111" s="453">
        <f>SUM(H111)-SUM(F111)</f>
        <v>0</v>
      </c>
      <c r="H111" s="448">
        <f>SQRT(SUM(H112)^2+1.5*SUM(H112)*SUM(H113)+SUM(H113)^2)</f>
        <v>0</v>
      </c>
      <c r="I111" s="444">
        <f>SUM(J111)-SUM(H111)</f>
        <v>0</v>
      </c>
      <c r="J111" s="448">
        <f>SQRT(SUM(J112)^2+1.5*SUM(J112)*SUM(J113)+SUM(J113)^2)</f>
        <v>0</v>
      </c>
      <c r="K111" s="766" t="s">
        <v>567</v>
      </c>
      <c r="L111" s="723"/>
      <c r="M111" s="723"/>
      <c r="N111" s="685"/>
      <c r="O111" s="304" t="s">
        <v>89</v>
      </c>
      <c r="P111" s="213" t="s">
        <v>442</v>
      </c>
      <c r="Q111" s="214" t="s">
        <v>442</v>
      </c>
      <c r="R111" s="215" t="s">
        <v>440</v>
      </c>
      <c r="S111" s="215" t="s">
        <v>441</v>
      </c>
    </row>
    <row r="112" spans="1:24" ht="15.75" thickBot="1" x14ac:dyDescent="0.3">
      <c r="C112" s="4"/>
      <c r="D112" s="4"/>
      <c r="E112" s="402"/>
      <c r="F112" s="424"/>
      <c r="G112" s="435"/>
      <c r="H112" s="528" t="s">
        <v>521</v>
      </c>
      <c r="I112" s="443">
        <f>SUM(J112)-SUM(H112)</f>
        <v>0</v>
      </c>
      <c r="J112" s="528" t="s">
        <v>521</v>
      </c>
      <c r="K112" s="774" t="s">
        <v>581</v>
      </c>
      <c r="L112" s="769"/>
      <c r="M112" s="769"/>
      <c r="N112" s="607"/>
      <c r="O112" s="304" t="s">
        <v>89</v>
      </c>
      <c r="P112" s="134" t="s">
        <v>777</v>
      </c>
      <c r="Q112" s="217" t="s">
        <v>440</v>
      </c>
      <c r="R112" s="218">
        <v>1</v>
      </c>
      <c r="S112" s="260">
        <f>R113</f>
        <v>0.75</v>
      </c>
    </row>
    <row r="113" spans="1:24" ht="15.75" thickBot="1" x14ac:dyDescent="0.3">
      <c r="C113" s="4"/>
      <c r="D113" s="4"/>
      <c r="E113" s="402"/>
      <c r="F113" s="427"/>
      <c r="G113" s="436"/>
      <c r="H113" s="519" t="s">
        <v>521</v>
      </c>
      <c r="I113" s="456">
        <f>SUM(J113)-SUM(H113)</f>
        <v>0</v>
      </c>
      <c r="J113" s="519" t="s">
        <v>521</v>
      </c>
      <c r="K113" s="775" t="s">
        <v>582</v>
      </c>
      <c r="L113" s="772"/>
      <c r="M113" s="772"/>
      <c r="N113" s="773"/>
      <c r="O113" s="304" t="s">
        <v>89</v>
      </c>
      <c r="P113" s="135" t="str">
        <f>HYPERLINK(_TS_&amp;"#"&amp;SUBSTITUTE(P112,".","_"),"Open")</f>
        <v>Open</v>
      </c>
      <c r="Q113" s="217" t="s">
        <v>441</v>
      </c>
      <c r="R113" s="227">
        <v>0.75</v>
      </c>
      <c r="S113" s="229">
        <v>1</v>
      </c>
    </row>
    <row r="114" spans="1:24" ht="5.25" customHeight="1" x14ac:dyDescent="0.25">
      <c r="C114" s="4"/>
      <c r="D114" s="4"/>
      <c r="E114" s="402"/>
      <c r="F114" s="4"/>
      <c r="O114" s="304" t="s">
        <v>89</v>
      </c>
    </row>
    <row r="115" spans="1:24" ht="15.75" thickBot="1" x14ac:dyDescent="0.3">
      <c r="C115" s="181" t="s">
        <v>575</v>
      </c>
      <c r="D115" s="182"/>
      <c r="E115" s="402"/>
      <c r="F115" s="695" t="s">
        <v>548</v>
      </c>
      <c r="G115" s="695" t="s">
        <v>549</v>
      </c>
      <c r="H115" s="695" t="s">
        <v>550</v>
      </c>
      <c r="I115" s="695" t="s">
        <v>551</v>
      </c>
      <c r="J115" s="695" t="s">
        <v>552</v>
      </c>
      <c r="K115" s="165" t="s">
        <v>648</v>
      </c>
      <c r="L115" s="166"/>
      <c r="M115" s="166"/>
      <c r="N115" s="167"/>
      <c r="O115" s="304" t="s">
        <v>89</v>
      </c>
    </row>
    <row r="116" spans="1:24" ht="15.75" thickBot="1" x14ac:dyDescent="0.3">
      <c r="A116" s="134" t="s">
        <v>846</v>
      </c>
      <c r="B116" s="135" t="str">
        <f>HYPERLINK(_TS_&amp;"#"&amp;SUBSTITUTE(A116,".","_"),"Open")</f>
        <v>Open</v>
      </c>
      <c r="C116" s="651" t="s">
        <v>566</v>
      </c>
      <c r="D116" s="450">
        <f>MIN(30%*SUM($H$77),MAX(SUM(D117),SUM(D118)))+25%*SUM(D122)</f>
        <v>0</v>
      </c>
      <c r="E116" s="402"/>
      <c r="F116" s="453">
        <f>SUM(H117:H123)</f>
        <v>0</v>
      </c>
      <c r="G116" s="453">
        <f>SUM(H116)-SUM(F116)</f>
        <v>0</v>
      </c>
      <c r="H116" s="448">
        <f>SQRT(SUMPRODUCT(H117:H123,MMULT(CorrLife,H117:H123*1)))</f>
        <v>0</v>
      </c>
      <c r="I116" s="448">
        <f>SUM(H116)-SUM(J116)</f>
        <v>0</v>
      </c>
      <c r="J116" s="448">
        <f>SQRT(SUMPRODUCT(J117:J123,MMULT(CorrLife,J117:J123*1)))</f>
        <v>0</v>
      </c>
      <c r="K116" s="776" t="s">
        <v>567</v>
      </c>
      <c r="L116" s="777"/>
      <c r="M116" s="777"/>
      <c r="N116" s="778"/>
      <c r="O116" s="304" t="s">
        <v>89</v>
      </c>
      <c r="P116" s="213" t="s">
        <v>145</v>
      </c>
      <c r="Q116" s="214"/>
      <c r="R116" s="215" t="s">
        <v>61</v>
      </c>
      <c r="S116" s="215" t="s">
        <v>62</v>
      </c>
      <c r="T116" s="215" t="s">
        <v>146</v>
      </c>
      <c r="U116" s="215" t="s">
        <v>63</v>
      </c>
      <c r="V116" s="215" t="s">
        <v>147</v>
      </c>
      <c r="W116" s="215" t="s">
        <v>65</v>
      </c>
      <c r="X116" s="215" t="s">
        <v>66</v>
      </c>
    </row>
    <row r="117" spans="1:24" ht="15.75" thickBot="1" x14ac:dyDescent="0.3">
      <c r="C117" s="651" t="s">
        <v>202</v>
      </c>
      <c r="D117" s="387">
        <f>SUM('Shared-2013'!D84)</f>
        <v>0</v>
      </c>
      <c r="E117" s="402"/>
      <c r="F117" s="424"/>
      <c r="G117" s="435"/>
      <c r="H117" s="465">
        <f>SUM(J166)</f>
        <v>0</v>
      </c>
      <c r="I117" s="444">
        <f t="shared" ref="I117:I123" si="3">SUM(J117)-SUM(H117)</f>
        <v>0</v>
      </c>
      <c r="J117" s="465">
        <f>SUM(L166)</f>
        <v>0</v>
      </c>
      <c r="K117" s="774" t="s">
        <v>576</v>
      </c>
      <c r="L117" s="769"/>
      <c r="M117" s="769"/>
      <c r="N117" s="607"/>
      <c r="O117" s="304" t="s">
        <v>89</v>
      </c>
      <c r="P117" s="134" t="s">
        <v>612</v>
      </c>
      <c r="Q117" s="217" t="s">
        <v>61</v>
      </c>
      <c r="R117" s="218">
        <v>1</v>
      </c>
      <c r="S117" s="219">
        <f>R118</f>
        <v>-0.25</v>
      </c>
      <c r="T117" s="219">
        <f>R119</f>
        <v>0.25</v>
      </c>
      <c r="U117" s="219">
        <f>R120</f>
        <v>0</v>
      </c>
      <c r="V117" s="220">
        <f>R121</f>
        <v>0.25</v>
      </c>
      <c r="W117" s="220">
        <f>R122</f>
        <v>0</v>
      </c>
      <c r="X117" s="221">
        <f>R123</f>
        <v>0.25</v>
      </c>
    </row>
    <row r="118" spans="1:24" ht="15.75" thickBot="1" x14ac:dyDescent="0.3">
      <c r="C118" s="651" t="s">
        <v>579</v>
      </c>
      <c r="D118" s="450">
        <f>0.45%*MAX(0,SUM(D119)-SUM(D120))+3%*MAX(0,SUM(D121))</f>
        <v>0</v>
      </c>
      <c r="E118" s="402"/>
      <c r="F118" s="424"/>
      <c r="G118" s="435"/>
      <c r="H118" s="465">
        <f>SUM(J167)</f>
        <v>0</v>
      </c>
      <c r="I118" s="444">
        <f t="shared" si="3"/>
        <v>0</v>
      </c>
      <c r="J118" s="465">
        <f>SUM(L167)</f>
        <v>0</v>
      </c>
      <c r="K118" s="754" t="s">
        <v>577</v>
      </c>
      <c r="L118" s="734"/>
      <c r="M118" s="734"/>
      <c r="N118" s="770"/>
      <c r="O118" s="304" t="s">
        <v>89</v>
      </c>
      <c r="P118" s="135" t="str">
        <f>HYPERLINK(_TS_&amp;"#"&amp;SUBSTITUTE(P117,".","_"),"Open")</f>
        <v>Open</v>
      </c>
      <c r="Q118" s="217" t="s">
        <v>62</v>
      </c>
      <c r="R118" s="222">
        <v>-0.25</v>
      </c>
      <c r="S118" s="223">
        <v>1</v>
      </c>
      <c r="T118" s="224">
        <f>S119</f>
        <v>0</v>
      </c>
      <c r="U118" s="224">
        <f>S120</f>
        <v>0.25</v>
      </c>
      <c r="V118" s="224">
        <f>S121</f>
        <v>0.25</v>
      </c>
      <c r="W118" s="224">
        <f>S122</f>
        <v>0.25</v>
      </c>
      <c r="X118" s="225">
        <f>S123</f>
        <v>0</v>
      </c>
    </row>
    <row r="119" spans="1:24" ht="15.75" thickBot="1" x14ac:dyDescent="0.3">
      <c r="C119" s="779" t="s">
        <v>629</v>
      </c>
      <c r="D119" s="514" t="s">
        <v>521</v>
      </c>
      <c r="E119" s="402"/>
      <c r="F119" s="424"/>
      <c r="G119" s="435"/>
      <c r="H119" s="465">
        <f>SUM(J168)</f>
        <v>0</v>
      </c>
      <c r="I119" s="444">
        <f t="shared" si="3"/>
        <v>0</v>
      </c>
      <c r="J119" s="465">
        <f>SUM(L168)</f>
        <v>0</v>
      </c>
      <c r="K119" s="754" t="s">
        <v>578</v>
      </c>
      <c r="L119" s="734"/>
      <c r="M119" s="734"/>
      <c r="N119" s="770"/>
      <c r="O119" s="304" t="s">
        <v>89</v>
      </c>
      <c r="P119" s="401"/>
      <c r="Q119" s="217" t="s">
        <v>146</v>
      </c>
      <c r="R119" s="222">
        <v>0.25</v>
      </c>
      <c r="S119" s="223">
        <v>0</v>
      </c>
      <c r="T119" s="223">
        <v>1</v>
      </c>
      <c r="U119" s="224">
        <f>T120</f>
        <v>0</v>
      </c>
      <c r="V119" s="224">
        <f>T121</f>
        <v>0.5</v>
      </c>
      <c r="W119" s="224">
        <f>T122</f>
        <v>0</v>
      </c>
      <c r="X119" s="225">
        <f>U123</f>
        <v>0.25</v>
      </c>
    </row>
    <row r="120" spans="1:24" ht="15.75" thickBot="1" x14ac:dyDescent="0.3">
      <c r="C120" s="779" t="s">
        <v>630</v>
      </c>
      <c r="D120" s="514" t="s">
        <v>521</v>
      </c>
      <c r="E120" s="402"/>
      <c r="F120" s="424"/>
      <c r="G120" s="435"/>
      <c r="H120" s="465">
        <f>SUM(J169)</f>
        <v>0</v>
      </c>
      <c r="I120" s="444">
        <f t="shared" si="3"/>
        <v>0</v>
      </c>
      <c r="J120" s="465">
        <f>SUM(L169)</f>
        <v>0</v>
      </c>
      <c r="K120" s="754" t="s">
        <v>63</v>
      </c>
      <c r="L120" s="734"/>
      <c r="M120" s="734"/>
      <c r="N120" s="770"/>
      <c r="O120" s="304" t="s">
        <v>89</v>
      </c>
      <c r="P120" s="401"/>
      <c r="Q120" s="217" t="s">
        <v>63</v>
      </c>
      <c r="R120" s="222">
        <v>0</v>
      </c>
      <c r="S120" s="223">
        <v>0.25</v>
      </c>
      <c r="T120" s="223">
        <v>0</v>
      </c>
      <c r="U120" s="223">
        <v>1</v>
      </c>
      <c r="V120" s="224">
        <f>U121</f>
        <v>0.5</v>
      </c>
      <c r="W120" s="224">
        <f>U122</f>
        <v>0</v>
      </c>
      <c r="X120" s="225">
        <f>U123</f>
        <v>0.25</v>
      </c>
    </row>
    <row r="121" spans="1:24" ht="15.75" thickBot="1" x14ac:dyDescent="0.3">
      <c r="C121" s="779" t="s">
        <v>631</v>
      </c>
      <c r="D121" s="519" t="s">
        <v>521</v>
      </c>
      <c r="E121" s="402"/>
      <c r="F121" s="424"/>
      <c r="G121" s="435"/>
      <c r="H121" s="465">
        <f>SUM(J174)</f>
        <v>0</v>
      </c>
      <c r="I121" s="444">
        <f t="shared" si="3"/>
        <v>0</v>
      </c>
      <c r="J121" s="465">
        <f>SUM(L174)</f>
        <v>0</v>
      </c>
      <c r="K121" s="754" t="s">
        <v>147</v>
      </c>
      <c r="L121" s="734"/>
      <c r="M121" s="734"/>
      <c r="N121" s="770"/>
      <c r="O121" s="304" t="s">
        <v>89</v>
      </c>
      <c r="P121" s="401"/>
      <c r="Q121" s="217" t="s">
        <v>147</v>
      </c>
      <c r="R121" s="222">
        <v>0.25</v>
      </c>
      <c r="S121" s="223">
        <v>0.25</v>
      </c>
      <c r="T121" s="223">
        <v>0.5</v>
      </c>
      <c r="U121" s="223">
        <v>0.5</v>
      </c>
      <c r="V121" s="223">
        <v>1</v>
      </c>
      <c r="W121" s="224">
        <f>V122</f>
        <v>0.5</v>
      </c>
      <c r="X121" s="225">
        <f>V123</f>
        <v>0.25</v>
      </c>
    </row>
    <row r="122" spans="1:24" ht="15.75" thickBot="1" x14ac:dyDescent="0.3">
      <c r="C122" s="671" t="s">
        <v>651</v>
      </c>
      <c r="D122" s="388">
        <f>SUM('Shared-2013'!D91)</f>
        <v>0</v>
      </c>
      <c r="E122" s="402"/>
      <c r="F122" s="424"/>
      <c r="G122" s="435"/>
      <c r="H122" s="465">
        <f>SUM(J175)</f>
        <v>0</v>
      </c>
      <c r="I122" s="444">
        <f t="shared" si="3"/>
        <v>0</v>
      </c>
      <c r="J122" s="465">
        <f>SUM(L175)</f>
        <v>0</v>
      </c>
      <c r="K122" s="754" t="s">
        <v>65</v>
      </c>
      <c r="L122" s="734"/>
      <c r="M122" s="734"/>
      <c r="N122" s="770"/>
      <c r="O122" s="304" t="s">
        <v>89</v>
      </c>
      <c r="P122" s="401"/>
      <c r="Q122" s="217" t="s">
        <v>65</v>
      </c>
      <c r="R122" s="222">
        <v>0</v>
      </c>
      <c r="S122" s="223">
        <v>0.25</v>
      </c>
      <c r="T122" s="223">
        <v>0</v>
      </c>
      <c r="U122" s="223">
        <v>0</v>
      </c>
      <c r="V122" s="223">
        <v>0.5</v>
      </c>
      <c r="W122" s="223">
        <v>1</v>
      </c>
      <c r="X122" s="226">
        <f>W123</f>
        <v>0</v>
      </c>
    </row>
    <row r="123" spans="1:24" ht="15.75" thickBot="1" x14ac:dyDescent="0.3">
      <c r="C123" s="4"/>
      <c r="D123" s="4"/>
      <c r="E123" s="402"/>
      <c r="F123" s="427"/>
      <c r="G123" s="436"/>
      <c r="H123" s="473">
        <f>SUM(J176)</f>
        <v>0</v>
      </c>
      <c r="I123" s="456">
        <f t="shared" si="3"/>
        <v>0</v>
      </c>
      <c r="J123" s="473">
        <f>SUM(L176)</f>
        <v>0</v>
      </c>
      <c r="K123" s="775" t="s">
        <v>66</v>
      </c>
      <c r="L123" s="772"/>
      <c r="M123" s="772"/>
      <c r="N123" s="773"/>
      <c r="O123" s="304" t="s">
        <v>89</v>
      </c>
      <c r="P123" s="401"/>
      <c r="Q123" s="217" t="s">
        <v>66</v>
      </c>
      <c r="R123" s="227">
        <v>0.25</v>
      </c>
      <c r="S123" s="228">
        <v>0</v>
      </c>
      <c r="T123" s="228">
        <v>0.25</v>
      </c>
      <c r="U123" s="228">
        <v>0.25</v>
      </c>
      <c r="V123" s="228">
        <v>0.25</v>
      </c>
      <c r="W123" s="228">
        <v>0</v>
      </c>
      <c r="X123" s="229">
        <v>1</v>
      </c>
    </row>
    <row r="124" spans="1:24" ht="6" customHeight="1" x14ac:dyDescent="0.25">
      <c r="C124" s="4"/>
      <c r="D124" s="4"/>
      <c r="E124" s="402"/>
      <c r="F124" s="4"/>
      <c r="O124" s="304" t="s">
        <v>89</v>
      </c>
    </row>
    <row r="125" spans="1:24" ht="15.75" thickBot="1" x14ac:dyDescent="0.3">
      <c r="C125" s="181" t="s">
        <v>650</v>
      </c>
      <c r="D125" s="212"/>
      <c r="E125" s="402"/>
      <c r="F125" s="695" t="s">
        <v>548</v>
      </c>
      <c r="G125" s="695" t="s">
        <v>549</v>
      </c>
      <c r="H125" s="695" t="s">
        <v>550</v>
      </c>
      <c r="I125" s="695" t="s">
        <v>551</v>
      </c>
      <c r="J125" s="695" t="s">
        <v>552</v>
      </c>
      <c r="K125" s="165" t="s">
        <v>649</v>
      </c>
      <c r="L125" s="166"/>
      <c r="M125" s="166"/>
      <c r="N125" s="167"/>
      <c r="O125" s="304" t="s">
        <v>89</v>
      </c>
    </row>
    <row r="126" spans="1:24" ht="15.75" thickBot="1" x14ac:dyDescent="0.3">
      <c r="C126" s="651" t="s">
        <v>566</v>
      </c>
      <c r="D126" s="450">
        <f>SQRT(SUMPRODUCT(D127:D129,MMULT($R$132:$T$134,D127:D129*1)))</f>
        <v>0</v>
      </c>
      <c r="E126" s="402"/>
      <c r="F126" s="453"/>
      <c r="G126" s="453">
        <f>SUM(H126)-SUM(F126)</f>
        <v>0</v>
      </c>
      <c r="H126" s="448">
        <f>SQRT(SUMPRODUCT(H127:H129,MMULT(CorrHealth,H127:H129*1)))</f>
        <v>0</v>
      </c>
      <c r="I126" s="448">
        <f>SUM(H126)-SUM(J126)</f>
        <v>0</v>
      </c>
      <c r="J126" s="448">
        <f>SQRT(SUMPRODUCT(J127:J129,MMULT(CorrHealth,J127:J129*1)))</f>
        <v>0</v>
      </c>
      <c r="K126" s="776" t="s">
        <v>567</v>
      </c>
      <c r="L126" s="777"/>
      <c r="M126" s="777"/>
      <c r="N126" s="778"/>
      <c r="O126" s="304" t="s">
        <v>89</v>
      </c>
      <c r="P126" s="213" t="s">
        <v>151</v>
      </c>
      <c r="Q126" s="214"/>
      <c r="R126" s="215" t="s">
        <v>152</v>
      </c>
      <c r="S126" s="215" t="s">
        <v>153</v>
      </c>
      <c r="T126" s="215" t="s">
        <v>154</v>
      </c>
    </row>
    <row r="127" spans="1:24" ht="15.75" thickBot="1" x14ac:dyDescent="0.3">
      <c r="C127" s="780" t="s">
        <v>615</v>
      </c>
      <c r="D127" s="444">
        <f>SUM(D234)</f>
        <v>0</v>
      </c>
      <c r="E127" s="402"/>
      <c r="F127" s="424"/>
      <c r="G127" s="435"/>
      <c r="H127" s="465">
        <f>SUM(D182)</f>
        <v>0</v>
      </c>
      <c r="I127" s="444">
        <f>SUM(J127)-SUM(H127)</f>
        <v>0</v>
      </c>
      <c r="J127" s="465">
        <f>H127</f>
        <v>0</v>
      </c>
      <c r="K127" s="774" t="s">
        <v>618</v>
      </c>
      <c r="L127" s="734"/>
      <c r="M127" s="734"/>
      <c r="N127" s="770"/>
      <c r="O127" s="304" t="s">
        <v>89</v>
      </c>
      <c r="P127" s="134" t="s">
        <v>612</v>
      </c>
      <c r="Q127" s="217" t="s">
        <v>152</v>
      </c>
      <c r="R127" s="218">
        <v>1</v>
      </c>
      <c r="S127" s="219">
        <f>R128</f>
        <v>0.5</v>
      </c>
      <c r="T127" s="260">
        <f>R129</f>
        <v>0.25</v>
      </c>
    </row>
    <row r="128" spans="1:24" ht="15.75" thickBot="1" x14ac:dyDescent="0.3">
      <c r="C128" s="780" t="s">
        <v>1000</v>
      </c>
      <c r="D128" s="444">
        <f>SUM(D255)</f>
        <v>0</v>
      </c>
      <c r="E128" s="402"/>
      <c r="F128" s="424"/>
      <c r="G128" s="435"/>
      <c r="H128" s="465">
        <f>SUM(H182)</f>
        <v>0</v>
      </c>
      <c r="I128" s="444">
        <f>SUM(J128)-SUM(H128)</f>
        <v>0</v>
      </c>
      <c r="J128" s="465">
        <f>SUM(J182)</f>
        <v>0</v>
      </c>
      <c r="K128" s="754" t="s">
        <v>152</v>
      </c>
      <c r="L128" s="734"/>
      <c r="M128" s="734"/>
      <c r="N128" s="770"/>
      <c r="O128" s="304" t="s">
        <v>89</v>
      </c>
      <c r="P128" s="135" t="str">
        <f>HYPERLINK(_TS_&amp;"#"&amp;SUBSTITUTE(P127,".","_"),"Open")</f>
        <v>Open</v>
      </c>
      <c r="Q128" s="217" t="s">
        <v>153</v>
      </c>
      <c r="R128" s="222">
        <v>0.5</v>
      </c>
      <c r="S128" s="223">
        <v>1</v>
      </c>
      <c r="T128" s="225">
        <f>S129</f>
        <v>0.25</v>
      </c>
    </row>
    <row r="129" spans="1:20" ht="15.75" thickBot="1" x14ac:dyDescent="0.3">
      <c r="C129" s="781" t="s">
        <v>66</v>
      </c>
      <c r="D129" s="389">
        <f>SUM('Shared-2013'!D94)</f>
        <v>0</v>
      </c>
      <c r="E129" s="402"/>
      <c r="F129" s="427"/>
      <c r="G129" s="436"/>
      <c r="H129" s="473">
        <f>SUM(H191)</f>
        <v>0</v>
      </c>
      <c r="I129" s="456">
        <f>SUM(J129)-SUM(H129)</f>
        <v>0</v>
      </c>
      <c r="J129" s="473">
        <f>SUM(J191)</f>
        <v>0</v>
      </c>
      <c r="K129" s="775" t="s">
        <v>154</v>
      </c>
      <c r="L129" s="772"/>
      <c r="M129" s="772"/>
      <c r="N129" s="773"/>
      <c r="O129" s="304" t="s">
        <v>89</v>
      </c>
      <c r="Q129" s="217" t="s">
        <v>154</v>
      </c>
      <c r="R129" s="227">
        <v>0.25</v>
      </c>
      <c r="S129" s="228">
        <v>0.25</v>
      </c>
      <c r="T129" s="229">
        <v>1</v>
      </c>
    </row>
    <row r="130" spans="1:20" ht="7.5" customHeight="1" thickBot="1" x14ac:dyDescent="0.3">
      <c r="C130" s="4"/>
      <c r="D130" s="4"/>
      <c r="E130" s="4"/>
      <c r="F130" s="4"/>
      <c r="O130" s="304" t="s">
        <v>89</v>
      </c>
    </row>
    <row r="131" spans="1:20" ht="15.75" thickBot="1" x14ac:dyDescent="0.3">
      <c r="C131" s="1043" t="s">
        <v>1044</v>
      </c>
      <c r="D131" s="1111" t="str">
        <f>$D$63</f>
        <v>Illeszkedési kiigazítás</v>
      </c>
      <c r="E131" s="402"/>
      <c r="F131" s="402"/>
      <c r="G131" s="402"/>
      <c r="H131" s="402"/>
      <c r="I131" s="402"/>
      <c r="J131" s="402"/>
      <c r="K131" s="402"/>
      <c r="L131" s="402"/>
      <c r="M131" s="402"/>
      <c r="N131" s="402"/>
      <c r="O131" s="304" t="s">
        <v>89</v>
      </c>
      <c r="P131" s="213" t="s">
        <v>160</v>
      </c>
      <c r="Q131" s="214"/>
      <c r="R131" s="215" t="s">
        <v>161</v>
      </c>
      <c r="S131" s="215" t="s">
        <v>162</v>
      </c>
      <c r="T131" s="215" t="s">
        <v>163</v>
      </c>
    </row>
    <row r="132" spans="1:20" ht="15.75" thickBot="1" x14ac:dyDescent="0.3">
      <c r="C132" s="1045"/>
      <c r="D132" s="1112"/>
      <c r="E132" s="402"/>
      <c r="F132" s="402"/>
      <c r="G132" s="402"/>
      <c r="J132" s="402"/>
      <c r="K132" s="402"/>
      <c r="L132" s="281" t="s">
        <v>767</v>
      </c>
      <c r="N132" s="402"/>
      <c r="O132" s="304" t="s">
        <v>89</v>
      </c>
      <c r="P132" s="134" t="s">
        <v>840</v>
      </c>
      <c r="Q132" s="217" t="s">
        <v>161</v>
      </c>
      <c r="R132" s="218">
        <v>1</v>
      </c>
      <c r="S132" s="219">
        <f>R133</f>
        <v>0</v>
      </c>
      <c r="T132" s="260">
        <f>R134</f>
        <v>0.25</v>
      </c>
    </row>
    <row r="133" spans="1:20" ht="15.75" thickBot="1" x14ac:dyDescent="0.3">
      <c r="C133" s="203"/>
      <c r="D133" s="204"/>
      <c r="E133" s="402"/>
      <c r="H133" s="283" t="s">
        <v>768</v>
      </c>
      <c r="I133" s="284" t="str">
        <f>HYPERLINK(_TS_&amp;"#"&amp;SUBSTITUTE(H133,".","_"),"Open")</f>
        <v>Open</v>
      </c>
      <c r="J133" s="402"/>
      <c r="K133" s="402"/>
      <c r="L133" s="282" t="str">
        <f>HYPERLINK(_TS_&amp;"#"&amp;SUBSTITUTE(L132,".","_"),"Open")</f>
        <v>Open</v>
      </c>
      <c r="M133" s="402"/>
      <c r="N133" s="402"/>
      <c r="O133" s="304" t="s">
        <v>89</v>
      </c>
      <c r="P133" s="135" t="str">
        <f>HYPERLINK(_TS_&amp;"#"&amp;SUBSTITUTE(P132,".","_"),"Open")</f>
        <v>Open</v>
      </c>
      <c r="Q133" s="217" t="s">
        <v>162</v>
      </c>
      <c r="R133" s="222">
        <v>0</v>
      </c>
      <c r="S133" s="223">
        <v>1</v>
      </c>
      <c r="T133" s="225">
        <f>S134</f>
        <v>0</v>
      </c>
    </row>
    <row r="134" spans="1:20" ht="15.75" thickBot="1" x14ac:dyDescent="0.3">
      <c r="C134" s="1149" t="s">
        <v>736</v>
      </c>
      <c r="D134" s="1150"/>
      <c r="E134" s="157" t="s">
        <v>89</v>
      </c>
      <c r="F134" s="782" t="s">
        <v>735</v>
      </c>
      <c r="G134" s="691"/>
      <c r="H134" s="1151" t="s">
        <v>584</v>
      </c>
      <c r="I134" s="1152"/>
      <c r="J134" s="783"/>
      <c r="K134" s="784" t="s">
        <v>585</v>
      </c>
      <c r="L134" s="785"/>
      <c r="M134" s="1151" t="s">
        <v>586</v>
      </c>
      <c r="N134" s="1153"/>
      <c r="O134" s="304" t="s">
        <v>89</v>
      </c>
      <c r="Q134" s="217" t="s">
        <v>163</v>
      </c>
      <c r="R134" s="227">
        <v>0.25</v>
      </c>
      <c r="S134" s="228">
        <v>0</v>
      </c>
      <c r="T134" s="229">
        <v>1</v>
      </c>
    </row>
    <row r="135" spans="1:20" x14ac:dyDescent="0.25">
      <c r="C135" s="1154" t="s">
        <v>587</v>
      </c>
      <c r="D135" s="1155"/>
      <c r="E135" s="155" t="s">
        <v>89</v>
      </c>
      <c r="F135" s="695" t="s">
        <v>0</v>
      </c>
      <c r="G135" s="695" t="s">
        <v>20</v>
      </c>
      <c r="H135" s="695" t="s">
        <v>0</v>
      </c>
      <c r="I135" s="695" t="s">
        <v>20</v>
      </c>
      <c r="J135" s="695" t="s">
        <v>550</v>
      </c>
      <c r="K135" s="695" t="s">
        <v>551</v>
      </c>
      <c r="L135" s="695" t="s">
        <v>552</v>
      </c>
      <c r="M135" s="695" t="s">
        <v>0</v>
      </c>
      <c r="N135" s="695" t="s">
        <v>20</v>
      </c>
      <c r="O135" s="304" t="s">
        <v>89</v>
      </c>
    </row>
    <row r="136" spans="1:20" x14ac:dyDescent="0.25">
      <c r="C136" s="1156" t="s">
        <v>588</v>
      </c>
      <c r="D136" s="1157"/>
      <c r="E136" s="155" t="s">
        <v>89</v>
      </c>
      <c r="F136" s="437"/>
      <c r="G136" s="432"/>
      <c r="H136" s="437"/>
      <c r="I136" s="432"/>
      <c r="J136" s="973">
        <f>IF($J137="Up",J138,J139)</f>
        <v>0</v>
      </c>
      <c r="K136" s="448">
        <f>SUM(L136)-SUM(J136)</f>
        <v>0</v>
      </c>
      <c r="L136" s="451">
        <f>IF($J137="Up",L138,L139)</f>
        <v>0</v>
      </c>
      <c r="M136" s="437"/>
      <c r="N136" s="432"/>
      <c r="O136" s="304" t="s">
        <v>89</v>
      </c>
    </row>
    <row r="137" spans="1:20" x14ac:dyDescent="0.25">
      <c r="A137" s="134" t="s">
        <v>832</v>
      </c>
      <c r="B137" s="135" t="str">
        <f t="shared" ref="B137:B143" si="4">HYPERLINK(_TS_&amp;"#"&amp;SUBSTITUTE(A137,".","_"),"Open")</f>
        <v>Open</v>
      </c>
      <c r="C137" s="1158" t="s">
        <v>833</v>
      </c>
      <c r="D137" s="1159"/>
      <c r="E137" s="155" t="s">
        <v>89</v>
      </c>
      <c r="F137" s="435"/>
      <c r="G137" s="425"/>
      <c r="H137" s="435"/>
      <c r="I137" s="425"/>
      <c r="J137" s="1160" t="str">
        <f>IF(SUM(L138)&gt;SUM(L139),"Up","Down")</f>
        <v>Down</v>
      </c>
      <c r="K137" s="1161"/>
      <c r="L137" s="1162"/>
      <c r="M137" s="435"/>
      <c r="N137" s="425"/>
      <c r="O137" s="304" t="s">
        <v>89</v>
      </c>
    </row>
    <row r="138" spans="1:20" x14ac:dyDescent="0.25">
      <c r="A138" s="134" t="s">
        <v>766</v>
      </c>
      <c r="B138" s="135" t="str">
        <f t="shared" si="4"/>
        <v>Open</v>
      </c>
      <c r="C138" s="1163" t="s">
        <v>1122</v>
      </c>
      <c r="D138" s="1164"/>
      <c r="E138" s="155" t="s">
        <v>89</v>
      </c>
      <c r="F138" s="567" t="s">
        <v>521</v>
      </c>
      <c r="G138" s="568" t="s">
        <v>521</v>
      </c>
      <c r="H138" s="567" t="s">
        <v>521</v>
      </c>
      <c r="I138" s="568" t="s">
        <v>521</v>
      </c>
      <c r="J138" s="465">
        <f>IF(AND(F138&lt;&gt;"-",G138&lt;&gt;"-",H138&lt;&gt;"-",I138&lt;&gt;"-"),MAX((SUM(F138)-SUM(G138))-(SUM(H138)-SUM(I138)),0),0)</f>
        <v>0</v>
      </c>
      <c r="K138" s="444">
        <f t="shared" ref="K138:K158" si="5">SUM(L138)-SUM(J138)</f>
        <v>0</v>
      </c>
      <c r="L138" s="444">
        <f>IF(AND(F138&lt;&gt;"-",G138&lt;&gt;"-",M138&lt;&gt;"-",N138&lt;&gt;"-"),MAX((SUM(F138)-SUM(G138))-(SUM(M138)-SUM(N138)),0),0)</f>
        <v>0</v>
      </c>
      <c r="M138" s="567" t="s">
        <v>521</v>
      </c>
      <c r="N138" s="568" t="s">
        <v>521</v>
      </c>
      <c r="O138" s="304" t="s">
        <v>89</v>
      </c>
    </row>
    <row r="139" spans="1:20" x14ac:dyDescent="0.25">
      <c r="A139" s="134" t="s">
        <v>766</v>
      </c>
      <c r="B139" s="135" t="str">
        <f t="shared" si="4"/>
        <v>Open</v>
      </c>
      <c r="C139" s="1165" t="s">
        <v>1123</v>
      </c>
      <c r="D139" s="1166"/>
      <c r="E139" s="155" t="s">
        <v>89</v>
      </c>
      <c r="F139" s="567" t="s">
        <v>521</v>
      </c>
      <c r="G139" s="568" t="s">
        <v>521</v>
      </c>
      <c r="H139" s="567" t="s">
        <v>521</v>
      </c>
      <c r="I139" s="568" t="s">
        <v>521</v>
      </c>
      <c r="J139" s="465">
        <f>IF(AND(F139&lt;&gt;"-",G139&lt;&gt;"-",H139&lt;&gt;"-",I139&lt;&gt;"-"),MAX((SUM(F139)-SUM(G139))-(SUM(H139)-SUM(I139)),0),0)</f>
        <v>0</v>
      </c>
      <c r="K139" s="444">
        <f t="shared" si="5"/>
        <v>0</v>
      </c>
      <c r="L139" s="444">
        <f>IF(AND(F139&lt;&gt;"-",G139&lt;&gt;"-",M139&lt;&gt;"-",N139&lt;&gt;"-"),MAX((SUM(F139)-SUM(G139))-(SUM(M139)-SUM(N139)),0),0)</f>
        <v>0</v>
      </c>
      <c r="M139" s="567" t="s">
        <v>521</v>
      </c>
      <c r="N139" s="568" t="s">
        <v>521</v>
      </c>
      <c r="O139" s="304" t="s">
        <v>89</v>
      </c>
    </row>
    <row r="140" spans="1:20" ht="15.75" thickBot="1" x14ac:dyDescent="0.3">
      <c r="A140" s="134"/>
      <c r="B140" s="135"/>
      <c r="C140" s="1156" t="s">
        <v>589</v>
      </c>
      <c r="D140" s="1157"/>
      <c r="E140" s="155" t="s">
        <v>89</v>
      </c>
      <c r="F140" s="437"/>
      <c r="G140" s="432"/>
      <c r="H140" s="437"/>
      <c r="I140" s="432"/>
      <c r="J140" s="475">
        <f>SUM(J141,J144)</f>
        <v>0</v>
      </c>
      <c r="K140" s="448">
        <f t="shared" si="5"/>
        <v>0</v>
      </c>
      <c r="L140" s="448">
        <f>SUM(L141,L144)</f>
        <v>0</v>
      </c>
      <c r="M140" s="437"/>
      <c r="N140" s="432"/>
      <c r="O140" s="304" t="s">
        <v>89</v>
      </c>
    </row>
    <row r="141" spans="1:20" ht="15.75" thickBot="1" x14ac:dyDescent="0.3">
      <c r="A141" s="134" t="s">
        <v>772</v>
      </c>
      <c r="B141" s="135" t="str">
        <f t="shared" si="4"/>
        <v>Open</v>
      </c>
      <c r="C141" s="1167" t="s">
        <v>834</v>
      </c>
      <c r="D141" s="1168"/>
      <c r="E141" s="155" t="s">
        <v>89</v>
      </c>
      <c r="F141" s="431"/>
      <c r="G141" s="432"/>
      <c r="H141" s="437"/>
      <c r="I141" s="432"/>
      <c r="J141" s="474">
        <f>SQRT(SUMPRODUCT(J142:J143,MMULT($R$142:$S$143,J142:J143*1)))</f>
        <v>0</v>
      </c>
      <c r="K141" s="448">
        <f t="shared" si="5"/>
        <v>0</v>
      </c>
      <c r="L141" s="474">
        <f>SQRT(SUMPRODUCT(L142:L143,MMULT($R$142:$S$143,L142:L143*1)))</f>
        <v>0</v>
      </c>
      <c r="M141" s="431"/>
      <c r="N141" s="432"/>
      <c r="O141" s="304" t="s">
        <v>89</v>
      </c>
      <c r="P141" s="213" t="s">
        <v>774</v>
      </c>
      <c r="Q141" s="214"/>
      <c r="R141" s="215" t="s">
        <v>440</v>
      </c>
      <c r="S141" s="215" t="s">
        <v>441</v>
      </c>
    </row>
    <row r="142" spans="1:20" ht="15.75" thickBot="1" x14ac:dyDescent="0.3">
      <c r="A142" s="134" t="s">
        <v>771</v>
      </c>
      <c r="B142" s="135" t="str">
        <f t="shared" si="4"/>
        <v>Open</v>
      </c>
      <c r="C142" s="1169" t="s">
        <v>619</v>
      </c>
      <c r="D142" s="1170"/>
      <c r="E142" s="155" t="s">
        <v>89</v>
      </c>
      <c r="F142" s="566" t="s">
        <v>521</v>
      </c>
      <c r="G142" s="568" t="s">
        <v>521</v>
      </c>
      <c r="H142" s="567" t="s">
        <v>521</v>
      </c>
      <c r="I142" s="568" t="s">
        <v>521</v>
      </c>
      <c r="J142" s="465">
        <f>IF(AND(F142&lt;&gt;"-",G142&lt;&gt;"-",H142&lt;&gt;"-",I142&lt;&gt;"-"),MAX((SUM(F142)-SUM(G142))-(SUM(H142)-SUM(I142)),0),0)</f>
        <v>0</v>
      </c>
      <c r="K142" s="444">
        <f t="shared" si="5"/>
        <v>0</v>
      </c>
      <c r="L142" s="447">
        <f>IF(AND(F142&lt;&gt;"-",G142&lt;&gt;"-",M142&lt;&gt;"-",N142&lt;&gt;"-"),MAX((SUM(F142)-SUM(G142))-(SUM(M142)-SUM(N142)),0),0)</f>
        <v>0</v>
      </c>
      <c r="M142" s="566" t="s">
        <v>521</v>
      </c>
      <c r="N142" s="568" t="s">
        <v>521</v>
      </c>
      <c r="O142" s="304" t="s">
        <v>89</v>
      </c>
      <c r="P142" s="134" t="s">
        <v>765</v>
      </c>
      <c r="Q142" s="217" t="s">
        <v>440</v>
      </c>
      <c r="R142" s="218">
        <v>1</v>
      </c>
      <c r="S142" s="260">
        <f>R143</f>
        <v>0.75</v>
      </c>
    </row>
    <row r="143" spans="1:20" ht="15.75" thickBot="1" x14ac:dyDescent="0.3">
      <c r="A143" s="134" t="s">
        <v>771</v>
      </c>
      <c r="B143" s="135" t="str">
        <f t="shared" si="4"/>
        <v>Open</v>
      </c>
      <c r="C143" s="1171" t="s">
        <v>620</v>
      </c>
      <c r="D143" s="1172"/>
      <c r="E143" s="155" t="s">
        <v>89</v>
      </c>
      <c r="F143" s="569" t="s">
        <v>521</v>
      </c>
      <c r="G143" s="571" t="s">
        <v>521</v>
      </c>
      <c r="H143" s="570" t="s">
        <v>521</v>
      </c>
      <c r="I143" s="571" t="s">
        <v>521</v>
      </c>
      <c r="J143" s="465">
        <f>IF(AND(F143&lt;&gt;"-",G143&lt;&gt;"-",H143&lt;&gt;"-",I143&lt;&gt;"-"),MAX((SUM(F143)-SUM(G143))-(SUM(H143)-SUM(I143)),0),0)</f>
        <v>0</v>
      </c>
      <c r="K143" s="444">
        <f t="shared" si="5"/>
        <v>0</v>
      </c>
      <c r="L143" s="447">
        <f>IF(AND(F143&lt;&gt;"-",G143&lt;&gt;"-",M143&lt;&gt;"-",N143&lt;&gt;"-"),MAX((SUM(F143)-SUM(G143))-(SUM(M143)-SUM(N143)),0),0)</f>
        <v>0</v>
      </c>
      <c r="M143" s="569" t="s">
        <v>521</v>
      </c>
      <c r="N143" s="571" t="s">
        <v>521</v>
      </c>
      <c r="O143" s="304" t="s">
        <v>89</v>
      </c>
      <c r="P143" s="135" t="str">
        <f>HYPERLINK(_TS_&amp;"#"&amp;SUBSTITUTE(P142,".","_"),"Open")</f>
        <v>Open</v>
      </c>
      <c r="Q143" s="217" t="s">
        <v>441</v>
      </c>
      <c r="R143" s="227">
        <v>0.75</v>
      </c>
      <c r="S143" s="229">
        <v>1</v>
      </c>
    </row>
    <row r="144" spans="1:20" x14ac:dyDescent="0.25">
      <c r="A144" s="290"/>
      <c r="B144" s="135"/>
      <c r="C144" s="1167" t="s">
        <v>835</v>
      </c>
      <c r="D144" s="1168"/>
      <c r="E144" s="155" t="s">
        <v>89</v>
      </c>
      <c r="F144" s="431"/>
      <c r="G144" s="432"/>
      <c r="H144" s="437"/>
      <c r="I144" s="432"/>
      <c r="J144" s="474">
        <f>SQRT(SUMPRODUCT(J145:J146,MMULT($R$142:$S$143,J145:J146*1)))</f>
        <v>0</v>
      </c>
      <c r="K144" s="448">
        <f>SUM(L144)-SUM(J144)</f>
        <v>0</v>
      </c>
      <c r="L144" s="474">
        <f>SQRT(SUMPRODUCT(L145:L146,MMULT($R$142:$S$143,L145:L146*1)))</f>
        <v>0</v>
      </c>
      <c r="M144" s="431"/>
      <c r="N144" s="432"/>
      <c r="O144" s="304" t="s">
        <v>89</v>
      </c>
      <c r="P144" s="291"/>
      <c r="Q144" s="291"/>
      <c r="R144" s="291"/>
      <c r="S144" s="291"/>
    </row>
    <row r="145" spans="1:19" x14ac:dyDescent="0.25">
      <c r="A145" s="290"/>
      <c r="B145" s="135"/>
      <c r="C145" s="1169" t="s">
        <v>619</v>
      </c>
      <c r="D145" s="1170"/>
      <c r="E145" s="155" t="s">
        <v>89</v>
      </c>
      <c r="F145" s="566" t="s">
        <v>521</v>
      </c>
      <c r="G145" s="568" t="s">
        <v>521</v>
      </c>
      <c r="H145" s="567" t="s">
        <v>521</v>
      </c>
      <c r="I145" s="568" t="s">
        <v>521</v>
      </c>
      <c r="J145" s="465">
        <f>IF(AND(F145&lt;&gt;"-",G145&lt;&gt;"-",H145&lt;&gt;"-",I145&lt;&gt;"-"),MAX((SUM(F145)-SUM(G145))-(SUM(H145)-SUM(I145)),0),0)</f>
        <v>0</v>
      </c>
      <c r="K145" s="444">
        <f>SUM(L145)-SUM(J145)</f>
        <v>0</v>
      </c>
      <c r="L145" s="447">
        <f>IF(AND(F145&lt;&gt;"-",G145&lt;&gt;"-",M145&lt;&gt;"-",N145&lt;&gt;"-"),MAX((SUM(F145)-SUM(G145))-(SUM(M145)-SUM(N145)),0),0)</f>
        <v>0</v>
      </c>
      <c r="M145" s="566" t="s">
        <v>521</v>
      </c>
      <c r="N145" s="568" t="s">
        <v>521</v>
      </c>
      <c r="O145" s="304" t="s">
        <v>89</v>
      </c>
      <c r="P145" s="291"/>
      <c r="Q145" s="291"/>
      <c r="R145" s="291"/>
      <c r="S145" s="291"/>
    </row>
    <row r="146" spans="1:19" x14ac:dyDescent="0.25">
      <c r="A146" s="290"/>
      <c r="B146" s="135"/>
      <c r="C146" s="1171" t="s">
        <v>620</v>
      </c>
      <c r="D146" s="1172"/>
      <c r="E146" s="155" t="s">
        <v>89</v>
      </c>
      <c r="F146" s="569" t="s">
        <v>521</v>
      </c>
      <c r="G146" s="571" t="s">
        <v>521</v>
      </c>
      <c r="H146" s="570" t="s">
        <v>521</v>
      </c>
      <c r="I146" s="571" t="s">
        <v>521</v>
      </c>
      <c r="J146" s="465">
        <f>IF(AND(F146&lt;&gt;"-",G146&lt;&gt;"-",H146&lt;&gt;"-",I146&lt;&gt;"-"),MAX((SUM(F146)-SUM(G146))-(SUM(H146)-SUM(I146)),0),0)</f>
        <v>0</v>
      </c>
      <c r="K146" s="444">
        <f>SUM(L146)-SUM(J146)</f>
        <v>0</v>
      </c>
      <c r="L146" s="447">
        <f>IF(AND(F146&lt;&gt;"-",G146&lt;&gt;"-",M146&lt;&gt;"-",N146&lt;&gt;"-"),MAX((SUM(F146)-SUM(G146))-(SUM(M146)-SUM(N146)),0),0)</f>
        <v>0</v>
      </c>
      <c r="M146" s="569" t="s">
        <v>521</v>
      </c>
      <c r="N146" s="571" t="s">
        <v>521</v>
      </c>
      <c r="O146" s="304" t="s">
        <v>89</v>
      </c>
      <c r="P146" s="291"/>
      <c r="Q146" s="291"/>
      <c r="R146" s="291"/>
      <c r="S146" s="291"/>
    </row>
    <row r="147" spans="1:19" x14ac:dyDescent="0.25">
      <c r="C147" s="1173" t="s">
        <v>590</v>
      </c>
      <c r="D147" s="1152"/>
      <c r="E147" s="155" t="s">
        <v>89</v>
      </c>
      <c r="F147" s="934" t="s">
        <v>521</v>
      </c>
      <c r="G147" s="935" t="s">
        <v>521</v>
      </c>
      <c r="H147" s="934" t="s">
        <v>521</v>
      </c>
      <c r="I147" s="935" t="s">
        <v>521</v>
      </c>
      <c r="J147" s="474">
        <f>IF(AND(F147&lt;&gt;"-",G147&lt;&gt;"-",H147&lt;&gt;"-",I147&lt;&gt;"-"),MAX((SUM(F147)-SUM(G147))-(SUM(H147)-SUM(I147)),0),0)</f>
        <v>0</v>
      </c>
      <c r="K147" s="448">
        <f t="shared" si="5"/>
        <v>0</v>
      </c>
      <c r="L147" s="476">
        <f>IF(AND(F147&lt;&gt;"-",G147&lt;&gt;"-",M147&lt;&gt;"-",N147&lt;&gt;"-"),MAX((SUM(F147)-SUM(G147))-(SUM(M147)-SUM(N147)),0),0)</f>
        <v>0</v>
      </c>
      <c r="M147" s="934" t="s">
        <v>521</v>
      </c>
      <c r="N147" s="935" t="s">
        <v>521</v>
      </c>
      <c r="O147" s="304" t="s">
        <v>89</v>
      </c>
    </row>
    <row r="148" spans="1:19" x14ac:dyDescent="0.25">
      <c r="C148" s="1156" t="s">
        <v>591</v>
      </c>
      <c r="D148" s="1157"/>
      <c r="E148" s="155" t="s">
        <v>89</v>
      </c>
      <c r="F148" s="437"/>
      <c r="G148" s="432"/>
      <c r="H148" s="437"/>
      <c r="I148" s="432"/>
      <c r="J148" s="477">
        <f>SUM(J149,J150,J151)</f>
        <v>0</v>
      </c>
      <c r="K148" s="443">
        <f t="shared" si="5"/>
        <v>0</v>
      </c>
      <c r="L148" s="450">
        <f>SUM(L149,L150,L151)</f>
        <v>0</v>
      </c>
      <c r="M148" s="437"/>
      <c r="N148" s="432"/>
      <c r="O148" s="304" t="s">
        <v>89</v>
      </c>
    </row>
    <row r="149" spans="1:19" x14ac:dyDescent="0.25">
      <c r="C149" s="1163" t="s">
        <v>592</v>
      </c>
      <c r="D149" s="1164"/>
      <c r="E149" s="155" t="s">
        <v>89</v>
      </c>
      <c r="F149" s="567" t="s">
        <v>521</v>
      </c>
      <c r="G149" s="568" t="s">
        <v>521</v>
      </c>
      <c r="H149" s="567" t="s">
        <v>521</v>
      </c>
      <c r="I149" s="568" t="s">
        <v>521</v>
      </c>
      <c r="J149" s="478">
        <f>IF(AND(F149&lt;&gt;"-",G149&lt;&gt;"-",H149&lt;&gt;"-",I149&lt;&gt;"-"),MAX((SUM(F149)-SUM(G149))-(SUM(H149)-SUM(I149)),0),0)</f>
        <v>0</v>
      </c>
      <c r="K149" s="443">
        <f t="shared" si="5"/>
        <v>0</v>
      </c>
      <c r="L149" s="446">
        <f>IF(AND(F149&lt;&gt;"-",G149&lt;&gt;"-",M149&lt;&gt;"-",N149&lt;&gt;"-"),MAX((SUM(F149)-SUM(G149))-(SUM(M149)-SUM(N149)),0),0)</f>
        <v>0</v>
      </c>
      <c r="M149" s="567" t="s">
        <v>521</v>
      </c>
      <c r="N149" s="568" t="s">
        <v>521</v>
      </c>
      <c r="O149" s="304" t="s">
        <v>89</v>
      </c>
    </row>
    <row r="150" spans="1:19" x14ac:dyDescent="0.25">
      <c r="C150" s="1163" t="s">
        <v>593</v>
      </c>
      <c r="D150" s="1164"/>
      <c r="E150" s="155" t="s">
        <v>89</v>
      </c>
      <c r="F150" s="567" t="s">
        <v>521</v>
      </c>
      <c r="G150" s="568" t="s">
        <v>521</v>
      </c>
      <c r="H150" s="567" t="s">
        <v>521</v>
      </c>
      <c r="I150" s="568" t="s">
        <v>521</v>
      </c>
      <c r="J150" s="465">
        <f>IF(AND(F150&lt;&gt;"-",G150&lt;&gt;"-",H150&lt;&gt;"-",I150&lt;&gt;"-"),MAX((SUM(F150)-SUM(G150))-(SUM(H150)-SUM(I150)),0),0)</f>
        <v>0</v>
      </c>
      <c r="K150" s="444">
        <f t="shared" si="5"/>
        <v>0</v>
      </c>
      <c r="L150" s="447">
        <f>IF(AND(F150&lt;&gt;"-",G150&lt;&gt;"-",M150&lt;&gt;"-",N150&lt;&gt;"-"),MAX((SUM(F150)-SUM(G150))-(SUM(M150)-SUM(N150)),0),0)</f>
        <v>0</v>
      </c>
      <c r="M150" s="567" t="s">
        <v>521</v>
      </c>
      <c r="N150" s="568" t="s">
        <v>521</v>
      </c>
      <c r="O150" s="304" t="s">
        <v>89</v>
      </c>
    </row>
    <row r="151" spans="1:19" x14ac:dyDescent="0.25">
      <c r="C151" s="1163" t="s">
        <v>594</v>
      </c>
      <c r="D151" s="1164"/>
      <c r="E151" s="155" t="s">
        <v>89</v>
      </c>
      <c r="F151" s="431"/>
      <c r="G151" s="432"/>
      <c r="H151" s="437"/>
      <c r="I151" s="432"/>
      <c r="J151" s="474">
        <f>IF($J152="Up",J153,J154)</f>
        <v>0</v>
      </c>
      <c r="K151" s="448">
        <f t="shared" si="5"/>
        <v>0</v>
      </c>
      <c r="L151" s="480">
        <f>IF($J152="Up",L153,L154)</f>
        <v>0</v>
      </c>
      <c r="M151" s="437"/>
      <c r="N151" s="432"/>
      <c r="O151" s="304" t="s">
        <v>89</v>
      </c>
    </row>
    <row r="152" spans="1:19" x14ac:dyDescent="0.25">
      <c r="C152" s="1174" t="s">
        <v>595</v>
      </c>
      <c r="D152" s="1164"/>
      <c r="E152" s="155" t="s">
        <v>89</v>
      </c>
      <c r="F152" s="424"/>
      <c r="G152" s="425"/>
      <c r="H152" s="435"/>
      <c r="I152" s="425"/>
      <c r="J152" s="1160" t="str">
        <f>IF(SUM(L153)&gt;SUM(L154),"Up","Down")</f>
        <v>Down</v>
      </c>
      <c r="K152" s="1161"/>
      <c r="L152" s="1162"/>
      <c r="M152" s="435"/>
      <c r="N152" s="425"/>
      <c r="O152" s="304" t="s">
        <v>89</v>
      </c>
    </row>
    <row r="153" spans="1:19" x14ac:dyDescent="0.25">
      <c r="C153" s="1175" t="s">
        <v>596</v>
      </c>
      <c r="D153" s="1159"/>
      <c r="E153" s="155" t="s">
        <v>89</v>
      </c>
      <c r="F153" s="566" t="s">
        <v>521</v>
      </c>
      <c r="G153" s="568" t="s">
        <v>521</v>
      </c>
      <c r="H153" s="567" t="s">
        <v>521</v>
      </c>
      <c r="I153" s="568" t="s">
        <v>521</v>
      </c>
      <c r="J153" s="465">
        <f>IF(AND(F153&lt;&gt;"-",G153&lt;&gt;"-",H153&lt;&gt;"-",I153&lt;&gt;"-"),MAX((SUM(F153)-SUM(G153))-(SUM(H153)-SUM(I153)),0),0)</f>
        <v>0</v>
      </c>
      <c r="K153" s="444">
        <f>SUM(L153)-SUM(J153)</f>
        <v>0</v>
      </c>
      <c r="L153" s="447">
        <f>IF(AND(F153&lt;&gt;"-",G153&lt;&gt;"-",M153&lt;&gt;"-",N153&lt;&gt;"-"),MAX((SUM(F153)-SUM(G153))-(SUM(M153)-SUM(N153)),0),0)</f>
        <v>0</v>
      </c>
      <c r="M153" s="567" t="s">
        <v>521</v>
      </c>
      <c r="N153" s="568" t="s">
        <v>521</v>
      </c>
      <c r="O153" s="304" t="s">
        <v>89</v>
      </c>
    </row>
    <row r="154" spans="1:19" x14ac:dyDescent="0.25">
      <c r="C154" s="1175" t="s">
        <v>597</v>
      </c>
      <c r="D154" s="1159"/>
      <c r="E154" s="155" t="s">
        <v>89</v>
      </c>
      <c r="F154" s="569" t="s">
        <v>521</v>
      </c>
      <c r="G154" s="571" t="s">
        <v>521</v>
      </c>
      <c r="H154" s="570" t="s">
        <v>521</v>
      </c>
      <c r="I154" s="571" t="s">
        <v>521</v>
      </c>
      <c r="J154" s="473">
        <f>IF(AND(F154&lt;&gt;"-",G154&lt;&gt;"-",H154&lt;&gt;"-",I154&lt;&gt;"-"),MAX((SUM(F154)-SUM(G154))-(SUM(H154)-SUM(I154)),0),0)</f>
        <v>0</v>
      </c>
      <c r="K154" s="456">
        <f>SUM(L154)-SUM(J154)</f>
        <v>0</v>
      </c>
      <c r="L154" s="479">
        <f>IF(AND(F154&lt;&gt;"-",G154&lt;&gt;"-",M154&lt;&gt;"-",N154&lt;&gt;"-"),MAX((SUM(F154)-SUM(G154))-(SUM(M154)-SUM(N154)),0),0)</f>
        <v>0</v>
      </c>
      <c r="M154" s="570" t="s">
        <v>521</v>
      </c>
      <c r="N154" s="571" t="s">
        <v>521</v>
      </c>
      <c r="O154" s="304" t="s">
        <v>89</v>
      </c>
    </row>
    <row r="155" spans="1:19" x14ac:dyDescent="0.25">
      <c r="A155" s="134" t="s">
        <v>829</v>
      </c>
      <c r="B155" s="135" t="str">
        <f>HYPERLINK(_TS_&amp;"#"&amp;SUBSTITUTE(A155,".","_"),"Open")</f>
        <v>Open</v>
      </c>
      <c r="C155" s="1156" t="s">
        <v>598</v>
      </c>
      <c r="D155" s="1157"/>
      <c r="E155" s="155" t="s">
        <v>89</v>
      </c>
      <c r="F155" s="435"/>
      <c r="G155" s="425"/>
      <c r="H155" s="435"/>
      <c r="I155" s="425"/>
      <c r="J155" s="474">
        <f>SUM(J156:J157)</f>
        <v>0</v>
      </c>
      <c r="K155" s="448">
        <f t="shared" si="5"/>
        <v>0</v>
      </c>
      <c r="L155" s="480">
        <f>SUM(L156:L157)</f>
        <v>0</v>
      </c>
      <c r="M155" s="435"/>
      <c r="N155" s="425"/>
      <c r="O155" s="304" t="s">
        <v>89</v>
      </c>
      <c r="P155" s="402"/>
    </row>
    <row r="156" spans="1:19" x14ac:dyDescent="0.25">
      <c r="C156" s="1176" t="s">
        <v>830</v>
      </c>
      <c r="D156" s="1159"/>
      <c r="E156" s="155" t="s">
        <v>89</v>
      </c>
      <c r="F156" s="567" t="s">
        <v>521</v>
      </c>
      <c r="G156" s="568" t="s">
        <v>521</v>
      </c>
      <c r="H156" s="567" t="s">
        <v>521</v>
      </c>
      <c r="I156" s="568" t="s">
        <v>521</v>
      </c>
      <c r="J156" s="465">
        <f>IF(AND(F156&lt;&gt;"-",G156&lt;&gt;"-",H156&lt;&gt;"-",I156&lt;&gt;"-"),MAX((SUM(F156)-SUM(G156))-(SUM(H156)-SUM(I156)),0),0)</f>
        <v>0</v>
      </c>
      <c r="K156" s="444">
        <f t="shared" si="5"/>
        <v>0</v>
      </c>
      <c r="L156" s="447">
        <f>IF(AND(F156&lt;&gt;"-",G156&lt;&gt;"-",M156&lt;&gt;"-",N156&lt;&gt;"-"),MAX((SUM(F156)-SUM(G156))-(SUM(M156)-SUM(N156)),0),0)</f>
        <v>0</v>
      </c>
      <c r="M156" s="567" t="s">
        <v>521</v>
      </c>
      <c r="N156" s="568" t="s">
        <v>521</v>
      </c>
      <c r="O156" s="304" t="s">
        <v>89</v>
      </c>
    </row>
    <row r="157" spans="1:19" x14ac:dyDescent="0.25">
      <c r="C157" s="1177" t="s">
        <v>831</v>
      </c>
      <c r="D157" s="1178"/>
      <c r="E157" s="155" t="s">
        <v>89</v>
      </c>
      <c r="F157" s="567" t="s">
        <v>521</v>
      </c>
      <c r="G157" s="568" t="s">
        <v>521</v>
      </c>
      <c r="H157" s="567" t="s">
        <v>521</v>
      </c>
      <c r="I157" s="568" t="s">
        <v>521</v>
      </c>
      <c r="J157" s="465">
        <f>IF(AND(F157&lt;&gt;"-",G157&lt;&gt;"-",H157&lt;&gt;"-",I157&lt;&gt;"-"),MAX((SUM(F157)-SUM(G157))-(SUM(H157)-SUM(I157)),0),0)</f>
        <v>0</v>
      </c>
      <c r="K157" s="444">
        <f t="shared" si="5"/>
        <v>0</v>
      </c>
      <c r="L157" s="447">
        <f>IF(AND(F157&lt;&gt;"-",G157&lt;&gt;"-",M157&lt;&gt;"-",N157&lt;&gt;"-"),MAX((SUM(F157)-SUM(G157))-(SUM(M157)-SUM(N157)),0),0)</f>
        <v>0</v>
      </c>
      <c r="M157" s="567" t="s">
        <v>521</v>
      </c>
      <c r="N157" s="568" t="s">
        <v>521</v>
      </c>
      <c r="O157" s="304" t="s">
        <v>89</v>
      </c>
    </row>
    <row r="158" spans="1:19" x14ac:dyDescent="0.25">
      <c r="C158" s="1173" t="s">
        <v>599</v>
      </c>
      <c r="D158" s="1152"/>
      <c r="E158" s="155" t="s">
        <v>89</v>
      </c>
      <c r="F158" s="420"/>
      <c r="G158" s="421"/>
      <c r="H158" s="420"/>
      <c r="I158" s="421"/>
      <c r="J158" s="933" t="s">
        <v>521</v>
      </c>
      <c r="K158" s="448">
        <f t="shared" si="5"/>
        <v>0</v>
      </c>
      <c r="L158" s="935" t="s">
        <v>521</v>
      </c>
      <c r="M158" s="420"/>
      <c r="N158" s="421"/>
      <c r="O158" s="304" t="s">
        <v>89</v>
      </c>
    </row>
    <row r="159" spans="1:19" x14ac:dyDescent="0.25">
      <c r="C159" s="1173" t="s">
        <v>1165</v>
      </c>
      <c r="D159" s="1152"/>
      <c r="E159" s="161" t="s">
        <v>89</v>
      </c>
      <c r="F159" s="526" t="s">
        <v>521</v>
      </c>
      <c r="G159" s="527" t="s">
        <v>521</v>
      </c>
      <c r="H159" s="526" t="s">
        <v>521</v>
      </c>
      <c r="I159" s="527" t="s">
        <v>521</v>
      </c>
      <c r="J159" s="473">
        <f>IF(AND(F159&lt;&gt;"-",G159&lt;&gt;"-",H159&lt;&gt;"-",I159&lt;&gt;"-"),MAX((SUM(F159)-SUM(G159))-(SUM(H159)-SUM(I159)),0),0)</f>
        <v>0</v>
      </c>
      <c r="K159" s="456">
        <f>SUM(L159)-SUM(J159)</f>
        <v>0</v>
      </c>
      <c r="L159" s="479">
        <f>IF(AND(F159&lt;&gt;"-",G159&lt;&gt;"-",M159&lt;&gt;"-",N159&lt;&gt;"-"),MAX((SUM(F159)-SUM(G159))-(SUM(M159)-SUM(N159)),0),0)</f>
        <v>0</v>
      </c>
      <c r="M159" s="526" t="s">
        <v>521</v>
      </c>
      <c r="N159" s="527" t="s">
        <v>521</v>
      </c>
      <c r="O159" s="304" t="s">
        <v>89</v>
      </c>
    </row>
    <row r="160" spans="1:19" x14ac:dyDescent="0.25">
      <c r="C160" s="4"/>
      <c r="D160" s="4"/>
      <c r="E160" s="4"/>
      <c r="F160" s="4"/>
      <c r="N160" s="402"/>
      <c r="O160" s="304" t="s">
        <v>89</v>
      </c>
    </row>
    <row r="161" spans="3:15" x14ac:dyDescent="0.25">
      <c r="C161" s="1043" t="s">
        <v>1045</v>
      </c>
      <c r="D161" s="1111" t="str">
        <f>$D$63</f>
        <v>Illeszkedési kiigazítás</v>
      </c>
      <c r="E161" s="402"/>
      <c r="F161" s="402"/>
      <c r="G161" s="402"/>
      <c r="H161" s="402"/>
      <c r="I161" s="402"/>
      <c r="J161" s="402"/>
      <c r="K161" s="402"/>
      <c r="L161" s="402"/>
      <c r="M161" s="402"/>
      <c r="O161" s="304" t="s">
        <v>89</v>
      </c>
    </row>
    <row r="162" spans="3:15" x14ac:dyDescent="0.25">
      <c r="C162" s="1045"/>
      <c r="D162" s="1112"/>
      <c r="E162" s="402"/>
      <c r="F162" s="402"/>
      <c r="G162" s="402"/>
      <c r="H162" s="402"/>
      <c r="I162" s="402"/>
      <c r="J162" s="402"/>
      <c r="K162" s="402"/>
      <c r="L162" s="402"/>
      <c r="M162" s="402"/>
      <c r="O162" s="304" t="s">
        <v>89</v>
      </c>
    </row>
    <row r="163" spans="3:15" x14ac:dyDescent="0.25">
      <c r="C163" s="203"/>
      <c r="D163" s="204"/>
      <c r="E163" s="402"/>
      <c r="F163" s="402"/>
      <c r="G163" s="402"/>
      <c r="H163" s="402"/>
      <c r="I163" s="402"/>
      <c r="J163" s="402"/>
      <c r="K163" s="402"/>
      <c r="L163" s="402"/>
      <c r="M163" s="402"/>
      <c r="O163" s="304" t="s">
        <v>89</v>
      </c>
    </row>
    <row r="164" spans="3:15" x14ac:dyDescent="0.25">
      <c r="C164" s="1179" t="s">
        <v>1124</v>
      </c>
      <c r="D164" s="1180"/>
      <c r="E164" s="205" t="s">
        <v>89</v>
      </c>
      <c r="F164" s="782" t="s">
        <v>735</v>
      </c>
      <c r="G164" s="691"/>
      <c r="H164" s="786" t="s">
        <v>584</v>
      </c>
      <c r="I164" s="787"/>
      <c r="J164" s="783"/>
      <c r="K164" s="784" t="str">
        <f>K134</f>
        <v>Scenario based stressed values</v>
      </c>
      <c r="L164" s="785"/>
      <c r="M164" s="1151" t="s">
        <v>586</v>
      </c>
      <c r="N164" s="1153"/>
      <c r="O164" s="304" t="s">
        <v>89</v>
      </c>
    </row>
    <row r="165" spans="3:15" x14ac:dyDescent="0.25">
      <c r="C165" s="1181" t="s">
        <v>587</v>
      </c>
      <c r="D165" s="1182"/>
      <c r="E165" s="205" t="s">
        <v>89</v>
      </c>
      <c r="F165" s="695" t="s">
        <v>0</v>
      </c>
      <c r="G165" s="695" t="s">
        <v>20</v>
      </c>
      <c r="H165" s="695" t="s">
        <v>0</v>
      </c>
      <c r="I165" s="695" t="s">
        <v>20</v>
      </c>
      <c r="J165" s="695" t="s">
        <v>550</v>
      </c>
      <c r="K165" s="695" t="s">
        <v>551</v>
      </c>
      <c r="L165" s="695" t="s">
        <v>552</v>
      </c>
      <c r="M165" s="695" t="s">
        <v>0</v>
      </c>
      <c r="N165" s="695" t="s">
        <v>20</v>
      </c>
      <c r="O165" s="304" t="s">
        <v>89</v>
      </c>
    </row>
    <row r="166" spans="3:15" x14ac:dyDescent="0.25">
      <c r="C166" s="1183" t="s">
        <v>576</v>
      </c>
      <c r="D166" s="1157"/>
      <c r="E166" s="157" t="s">
        <v>89</v>
      </c>
      <c r="F166" s="563" t="s">
        <v>521</v>
      </c>
      <c r="G166" s="565" t="s">
        <v>521</v>
      </c>
      <c r="H166" s="564" t="s">
        <v>521</v>
      </c>
      <c r="I166" s="565" t="s">
        <v>521</v>
      </c>
      <c r="J166" s="478">
        <f>IF(AND(F166&lt;&gt;"-",G166&lt;&gt;"-",H166&lt;&gt;"-",I166&lt;&gt;"-"),MAX((SUM(F166)-SUM(G166))-(SUM(H166)-SUM(I166)),0),0)</f>
        <v>0</v>
      </c>
      <c r="K166" s="443">
        <f>SUM(L166)-SUM(J166)</f>
        <v>0</v>
      </c>
      <c r="L166" s="446">
        <f>IF(AND(F166&lt;&gt;"-",G166&lt;&gt;"-",M166&lt;&gt;"-",N166&lt;&gt;"-"),MAX((SUM(F166)-SUM(G166))-(SUM(M166)-SUM(N166)),0),0)</f>
        <v>0</v>
      </c>
      <c r="M166" s="564" t="s">
        <v>521</v>
      </c>
      <c r="N166" s="565" t="s">
        <v>521</v>
      </c>
      <c r="O166" s="304" t="s">
        <v>89</v>
      </c>
    </row>
    <row r="167" spans="3:15" x14ac:dyDescent="0.25">
      <c r="C167" s="1158" t="s">
        <v>577</v>
      </c>
      <c r="D167" s="1159"/>
      <c r="E167" s="155" t="s">
        <v>89</v>
      </c>
      <c r="F167" s="566" t="s">
        <v>521</v>
      </c>
      <c r="G167" s="568" t="s">
        <v>521</v>
      </c>
      <c r="H167" s="567" t="s">
        <v>521</v>
      </c>
      <c r="I167" s="568" t="s">
        <v>521</v>
      </c>
      <c r="J167" s="465">
        <f>IF(AND(F167&lt;&gt;"-",G167&lt;&gt;"-",H167&lt;&gt;"-",I167&lt;&gt;"-"),MAX((SUM(F167)-SUM(G167))-(SUM(H167)-SUM(I167)),0),0)</f>
        <v>0</v>
      </c>
      <c r="K167" s="444">
        <f>SUM(L167)-SUM(J167)</f>
        <v>0</v>
      </c>
      <c r="L167" s="447">
        <f>IF(AND(F167&lt;&gt;"-",G167&lt;&gt;"-",M167&lt;&gt;"-",N167&lt;&gt;"-"),MAX((SUM(F167)-SUM(G167))-(SUM(M167)-SUM(N167)),0),0)</f>
        <v>0</v>
      </c>
      <c r="M167" s="567" t="s">
        <v>521</v>
      </c>
      <c r="N167" s="568" t="s">
        <v>521</v>
      </c>
      <c r="O167" s="304" t="s">
        <v>89</v>
      </c>
    </row>
    <row r="168" spans="3:15" x14ac:dyDescent="0.25">
      <c r="C168" s="1184" t="s">
        <v>621</v>
      </c>
      <c r="D168" s="1178"/>
      <c r="E168" s="155" t="s">
        <v>89</v>
      </c>
      <c r="F168" s="566" t="s">
        <v>521</v>
      </c>
      <c r="G168" s="568" t="s">
        <v>521</v>
      </c>
      <c r="H168" s="567" t="s">
        <v>521</v>
      </c>
      <c r="I168" s="568" t="s">
        <v>521</v>
      </c>
      <c r="J168" s="465">
        <f>IF(AND(F168&lt;&gt;"-",G168&lt;&gt;"-",H168&lt;&gt;"-",I168&lt;&gt;"-"),MAX((SUM(F168)-SUM(G168))-(SUM(H168)-SUM(I168)),0),0)</f>
        <v>0</v>
      </c>
      <c r="K168" s="444">
        <f>SUM(L168)-SUM(J168)</f>
        <v>0</v>
      </c>
      <c r="L168" s="447">
        <f>IF(AND(F168&lt;&gt;"-",G168&lt;&gt;"-",M168&lt;&gt;"-",N168&lt;&gt;"-"),MAX((SUM(F168)-SUM(G168))-(SUM(M168)-SUM(N168)),0),0)</f>
        <v>0</v>
      </c>
      <c r="M168" s="567" t="s">
        <v>521</v>
      </c>
      <c r="N168" s="568" t="s">
        <v>521</v>
      </c>
      <c r="O168" s="304" t="s">
        <v>89</v>
      </c>
    </row>
    <row r="169" spans="3:15" x14ac:dyDescent="0.25">
      <c r="C169" s="1183" t="s">
        <v>622</v>
      </c>
      <c r="D169" s="1157"/>
      <c r="E169" s="157" t="s">
        <v>89</v>
      </c>
      <c r="F169" s="431"/>
      <c r="G169" s="432"/>
      <c r="H169" s="437"/>
      <c r="I169" s="432"/>
      <c r="J169" s="475">
        <f>IF($J170="Up",J171,IF($J170="Down",J172,J173))</f>
        <v>0</v>
      </c>
      <c r="K169" s="448">
        <f>SUM(L169)-SUM(J169)</f>
        <v>0</v>
      </c>
      <c r="L169" s="448">
        <f>IF($J170="Up",L171,IF($J170="Down",L172,L173))</f>
        <v>0</v>
      </c>
      <c r="M169" s="437"/>
      <c r="N169" s="432"/>
      <c r="O169" s="304" t="s">
        <v>89</v>
      </c>
    </row>
    <row r="170" spans="3:15" x14ac:dyDescent="0.25">
      <c r="C170" s="1158" t="s">
        <v>623</v>
      </c>
      <c r="D170" s="1159"/>
      <c r="E170" s="155" t="s">
        <v>89</v>
      </c>
      <c r="F170" s="424"/>
      <c r="G170" s="425"/>
      <c r="H170" s="435"/>
      <c r="I170" s="425"/>
      <c r="J170" s="1160" t="str">
        <f>IF(MAX(L171:L173)=L172,"Down",IF(MAX(L171:L173)=L171,"Up","Mass"))</f>
        <v>Down</v>
      </c>
      <c r="K170" s="1161"/>
      <c r="L170" s="1162"/>
      <c r="M170" s="435"/>
      <c r="N170" s="425"/>
      <c r="O170" s="304" t="s">
        <v>89</v>
      </c>
    </row>
    <row r="171" spans="3:15" x14ac:dyDescent="0.25">
      <c r="C171" s="1176" t="s">
        <v>624</v>
      </c>
      <c r="D171" s="1159"/>
      <c r="E171" s="155" t="s">
        <v>89</v>
      </c>
      <c r="F171" s="566" t="s">
        <v>521</v>
      </c>
      <c r="G171" s="568" t="s">
        <v>521</v>
      </c>
      <c r="H171" s="567" t="s">
        <v>521</v>
      </c>
      <c r="I171" s="568" t="s">
        <v>521</v>
      </c>
      <c r="J171" s="465">
        <f t="shared" ref="J171:J176" si="6">IF(AND(F171&lt;&gt;"-",G171&lt;&gt;"-",H171&lt;&gt;"-",I171&lt;&gt;"-"),MAX((SUM(F171)-SUM(G171))-(SUM(H171)-SUM(I171)),0),0)</f>
        <v>0</v>
      </c>
      <c r="K171" s="444">
        <f t="shared" ref="K171:K176" si="7">SUM(L171)-SUM(J171)</f>
        <v>0</v>
      </c>
      <c r="L171" s="447">
        <f t="shared" ref="L171:L176" si="8">IF(AND(F171&lt;&gt;"-",G171&lt;&gt;"-",M171&lt;&gt;"-",N171&lt;&gt;"-"),MAX((SUM(F171)-SUM(G171))-(SUM(M171)-SUM(N171)),0),0)</f>
        <v>0</v>
      </c>
      <c r="M171" s="567" t="s">
        <v>521</v>
      </c>
      <c r="N171" s="568" t="s">
        <v>521</v>
      </c>
      <c r="O171" s="304" t="s">
        <v>89</v>
      </c>
    </row>
    <row r="172" spans="3:15" x14ac:dyDescent="0.25">
      <c r="C172" s="1176" t="s">
        <v>625</v>
      </c>
      <c r="D172" s="1159"/>
      <c r="E172" s="155" t="s">
        <v>89</v>
      </c>
      <c r="F172" s="566" t="s">
        <v>521</v>
      </c>
      <c r="G172" s="568" t="s">
        <v>521</v>
      </c>
      <c r="H172" s="567" t="s">
        <v>521</v>
      </c>
      <c r="I172" s="568" t="s">
        <v>521</v>
      </c>
      <c r="J172" s="465">
        <f t="shared" si="6"/>
        <v>0</v>
      </c>
      <c r="K172" s="444">
        <f t="shared" si="7"/>
        <v>0</v>
      </c>
      <c r="L172" s="447">
        <f t="shared" si="8"/>
        <v>0</v>
      </c>
      <c r="M172" s="567" t="s">
        <v>521</v>
      </c>
      <c r="N172" s="568" t="s">
        <v>521</v>
      </c>
      <c r="O172" s="304" t="s">
        <v>89</v>
      </c>
    </row>
    <row r="173" spans="3:15" x14ac:dyDescent="0.25">
      <c r="C173" s="1177" t="s">
        <v>626</v>
      </c>
      <c r="D173" s="1178"/>
      <c r="E173" s="161" t="s">
        <v>89</v>
      </c>
      <c r="F173" s="569" t="s">
        <v>521</v>
      </c>
      <c r="G173" s="571" t="s">
        <v>521</v>
      </c>
      <c r="H173" s="570" t="s">
        <v>521</v>
      </c>
      <c r="I173" s="571" t="s">
        <v>521</v>
      </c>
      <c r="J173" s="473">
        <f t="shared" si="6"/>
        <v>0</v>
      </c>
      <c r="K173" s="456">
        <f t="shared" si="7"/>
        <v>0</v>
      </c>
      <c r="L173" s="479">
        <f t="shared" si="8"/>
        <v>0</v>
      </c>
      <c r="M173" s="570" t="s">
        <v>521</v>
      </c>
      <c r="N173" s="571" t="s">
        <v>521</v>
      </c>
      <c r="O173" s="304" t="s">
        <v>89</v>
      </c>
    </row>
    <row r="174" spans="3:15" x14ac:dyDescent="0.25">
      <c r="C174" s="1158" t="s">
        <v>147</v>
      </c>
      <c r="D174" s="1159"/>
      <c r="E174" s="155" t="s">
        <v>89</v>
      </c>
      <c r="F174" s="566" t="s">
        <v>521</v>
      </c>
      <c r="G174" s="568" t="s">
        <v>521</v>
      </c>
      <c r="H174" s="567" t="s">
        <v>521</v>
      </c>
      <c r="I174" s="568" t="s">
        <v>521</v>
      </c>
      <c r="J174" s="465">
        <f t="shared" si="6"/>
        <v>0</v>
      </c>
      <c r="K174" s="444">
        <f t="shared" si="7"/>
        <v>0</v>
      </c>
      <c r="L174" s="447">
        <f t="shared" si="8"/>
        <v>0</v>
      </c>
      <c r="M174" s="567" t="s">
        <v>521</v>
      </c>
      <c r="N174" s="568" t="s">
        <v>521</v>
      </c>
      <c r="O174" s="304" t="s">
        <v>89</v>
      </c>
    </row>
    <row r="175" spans="3:15" x14ac:dyDescent="0.25">
      <c r="C175" s="1158" t="s">
        <v>65</v>
      </c>
      <c r="D175" s="1159"/>
      <c r="E175" s="155" t="s">
        <v>89</v>
      </c>
      <c r="F175" s="566" t="s">
        <v>521</v>
      </c>
      <c r="G175" s="568" t="s">
        <v>521</v>
      </c>
      <c r="H175" s="567" t="s">
        <v>521</v>
      </c>
      <c r="I175" s="568" t="s">
        <v>521</v>
      </c>
      <c r="J175" s="465">
        <f t="shared" si="6"/>
        <v>0</v>
      </c>
      <c r="K175" s="444">
        <f t="shared" si="7"/>
        <v>0</v>
      </c>
      <c r="L175" s="447">
        <f t="shared" si="8"/>
        <v>0</v>
      </c>
      <c r="M175" s="567" t="s">
        <v>521</v>
      </c>
      <c r="N175" s="568" t="s">
        <v>521</v>
      </c>
      <c r="O175" s="304" t="s">
        <v>89</v>
      </c>
    </row>
    <row r="176" spans="3:15" x14ac:dyDescent="0.25">
      <c r="C176" s="1184" t="s">
        <v>66</v>
      </c>
      <c r="D176" s="1178"/>
      <c r="E176" s="161" t="s">
        <v>89</v>
      </c>
      <c r="F176" s="569" t="s">
        <v>521</v>
      </c>
      <c r="G176" s="571" t="s">
        <v>521</v>
      </c>
      <c r="H176" s="570" t="s">
        <v>521</v>
      </c>
      <c r="I176" s="571" t="s">
        <v>521</v>
      </c>
      <c r="J176" s="473">
        <f t="shared" si="6"/>
        <v>0</v>
      </c>
      <c r="K176" s="456">
        <f t="shared" si="7"/>
        <v>0</v>
      </c>
      <c r="L176" s="479">
        <f t="shared" si="8"/>
        <v>0</v>
      </c>
      <c r="M176" s="570" t="s">
        <v>521</v>
      </c>
      <c r="N176" s="571" t="s">
        <v>521</v>
      </c>
      <c r="O176" s="304" t="s">
        <v>89</v>
      </c>
    </row>
    <row r="177" spans="1:23" x14ac:dyDescent="0.25">
      <c r="C177" s="4"/>
      <c r="D177" s="4"/>
      <c r="E177" s="4"/>
      <c r="F177" s="4"/>
      <c r="O177" s="304" t="s">
        <v>89</v>
      </c>
    </row>
    <row r="178" spans="1:23" x14ac:dyDescent="0.25">
      <c r="C178" s="1043" t="s">
        <v>1046</v>
      </c>
      <c r="D178" s="1111" t="str">
        <f>$D$63</f>
        <v>Illeszkedési kiigazítás</v>
      </c>
      <c r="E178" s="402"/>
      <c r="F178" s="402"/>
      <c r="G178" s="402"/>
      <c r="H178" s="402"/>
      <c r="I178" s="402"/>
      <c r="J178" s="402"/>
      <c r="K178" s="402"/>
      <c r="L178" s="402"/>
      <c r="M178" s="402"/>
      <c r="O178" s="304" t="s">
        <v>89</v>
      </c>
    </row>
    <row r="179" spans="1:23" x14ac:dyDescent="0.25">
      <c r="C179" s="1045"/>
      <c r="D179" s="1112"/>
      <c r="E179" s="402"/>
      <c r="F179" s="402"/>
      <c r="G179" s="402"/>
      <c r="H179" s="402"/>
      <c r="I179" s="402"/>
      <c r="J179" s="402"/>
      <c r="K179" s="402"/>
      <c r="L179" s="402"/>
      <c r="M179" s="402"/>
      <c r="O179" s="304" t="s">
        <v>89</v>
      </c>
    </row>
    <row r="180" spans="1:23" x14ac:dyDescent="0.25">
      <c r="C180" s="203"/>
      <c r="D180" s="204"/>
      <c r="E180" s="402"/>
      <c r="F180" s="402"/>
      <c r="G180" s="402"/>
      <c r="H180" s="402"/>
      <c r="I180" s="402"/>
      <c r="J180" s="402"/>
      <c r="K180" s="402"/>
      <c r="L180" s="402"/>
      <c r="M180" s="402"/>
      <c r="O180" s="304" t="s">
        <v>89</v>
      </c>
    </row>
    <row r="181" spans="1:23" x14ac:dyDescent="0.25">
      <c r="C181" s="945" t="s">
        <v>628</v>
      </c>
      <c r="D181" s="946"/>
      <c r="E181" s="402"/>
      <c r="F181" s="695" t="s">
        <v>548</v>
      </c>
      <c r="G181" s="695" t="s">
        <v>549</v>
      </c>
      <c r="H181" s="695" t="s">
        <v>550</v>
      </c>
      <c r="I181" s="695" t="s">
        <v>551</v>
      </c>
      <c r="J181" s="695" t="s">
        <v>552</v>
      </c>
      <c r="K181" s="71" t="s">
        <v>738</v>
      </c>
      <c r="L181" s="94"/>
      <c r="M181" s="94"/>
      <c r="N181" s="94"/>
      <c r="O181" s="304" t="s">
        <v>89</v>
      </c>
    </row>
    <row r="182" spans="1:23" x14ac:dyDescent="0.25">
      <c r="A182" s="134" t="s">
        <v>1094</v>
      </c>
      <c r="B182" s="135" t="str">
        <f>HYPERLINK(_TS_&amp;"#"&amp;SUBSTITUTE(A182,".","_"),"Open")</f>
        <v>Open</v>
      </c>
      <c r="C182" s="671" t="s">
        <v>616</v>
      </c>
      <c r="D182" s="451">
        <f>SQRT(D216^2+D229^2)</f>
        <v>0</v>
      </c>
      <c r="E182" s="402"/>
      <c r="F182" s="453">
        <f>SUM(H183:H189)</f>
        <v>0</v>
      </c>
      <c r="G182" s="453">
        <f>SUM(H182)-SUM(F182)</f>
        <v>0</v>
      </c>
      <c r="H182" s="448">
        <f>SQRT(SUMPRODUCT(H183:H188,MMULT($R$183:$W$188,H183:H188*1)))</f>
        <v>0</v>
      </c>
      <c r="I182" s="448">
        <f>SUM(H182)-SUM(J182)</f>
        <v>0</v>
      </c>
      <c r="J182" s="448">
        <f>SQRT(SUMPRODUCT(J183:J188,MMULT($R$183:$W$188,J183:J188*1)))</f>
        <v>0</v>
      </c>
      <c r="K182" s="776" t="s">
        <v>617</v>
      </c>
      <c r="L182" s="777"/>
      <c r="M182" s="777"/>
      <c r="N182" s="778"/>
      <c r="O182" s="304" t="s">
        <v>89</v>
      </c>
      <c r="P182" s="213" t="s">
        <v>151</v>
      </c>
      <c r="Q182" s="295" t="s">
        <v>155</v>
      </c>
      <c r="R182" s="34" t="s">
        <v>61</v>
      </c>
      <c r="S182" s="35" t="s">
        <v>62</v>
      </c>
      <c r="T182" s="35" t="s">
        <v>156</v>
      </c>
      <c r="U182" s="35" t="s">
        <v>63</v>
      </c>
      <c r="V182" s="35" t="s">
        <v>64</v>
      </c>
      <c r="W182" s="36" t="s">
        <v>65</v>
      </c>
    </row>
    <row r="183" spans="1:23" x14ac:dyDescent="0.25">
      <c r="C183" s="4"/>
      <c r="D183" s="4"/>
      <c r="E183" s="402"/>
      <c r="F183" s="424"/>
      <c r="G183" s="435"/>
      <c r="H183" s="465">
        <f>SUM(J198)</f>
        <v>0</v>
      </c>
      <c r="I183" s="444">
        <f t="shared" ref="I183:I188" si="9">SUM(J183)-SUM(H183)</f>
        <v>0</v>
      </c>
      <c r="J183" s="465">
        <f>SUM(L198)</f>
        <v>0</v>
      </c>
      <c r="K183" s="774" t="s">
        <v>576</v>
      </c>
      <c r="L183" s="769"/>
      <c r="M183" s="769"/>
      <c r="N183" s="607"/>
      <c r="O183" s="304" t="s">
        <v>89</v>
      </c>
      <c r="Q183" s="37" t="s">
        <v>61</v>
      </c>
      <c r="R183" s="296">
        <v>1</v>
      </c>
      <c r="S183" s="297">
        <f>R184</f>
        <v>-0.25</v>
      </c>
      <c r="T183" s="297">
        <f>R185</f>
        <v>0.25</v>
      </c>
      <c r="U183" s="297">
        <f>R186</f>
        <v>0</v>
      </c>
      <c r="V183" s="297">
        <f>R187</f>
        <v>0.25</v>
      </c>
      <c r="W183" s="298">
        <f>R188</f>
        <v>0</v>
      </c>
    </row>
    <row r="184" spans="1:23" x14ac:dyDescent="0.25">
      <c r="C184" s="4"/>
      <c r="D184" s="4"/>
      <c r="E184" s="402"/>
      <c r="F184" s="424"/>
      <c r="G184" s="435"/>
      <c r="H184" s="465">
        <f>SUM(J199)</f>
        <v>0</v>
      </c>
      <c r="I184" s="444">
        <f t="shared" si="9"/>
        <v>0</v>
      </c>
      <c r="J184" s="465">
        <f>SUM(L199)</f>
        <v>0</v>
      </c>
      <c r="K184" s="754" t="s">
        <v>577</v>
      </c>
      <c r="L184" s="734"/>
      <c r="M184" s="734"/>
      <c r="N184" s="770"/>
      <c r="O184" s="304" t="s">
        <v>89</v>
      </c>
      <c r="Q184" s="37" t="s">
        <v>62</v>
      </c>
      <c r="R184" s="296">
        <v>-0.25</v>
      </c>
      <c r="S184" s="296">
        <v>1</v>
      </c>
      <c r="T184" s="297">
        <f>S185</f>
        <v>0</v>
      </c>
      <c r="U184" s="297">
        <f>S186</f>
        <v>0.25</v>
      </c>
      <c r="V184" s="297">
        <f>S187</f>
        <v>0.25</v>
      </c>
      <c r="W184" s="298">
        <f>S188</f>
        <v>0.25</v>
      </c>
    </row>
    <row r="185" spans="1:23" x14ac:dyDescent="0.25">
      <c r="C185" s="4"/>
      <c r="D185" s="4"/>
      <c r="E185" s="4"/>
      <c r="F185" s="424"/>
      <c r="G185" s="435"/>
      <c r="H185" s="465">
        <f>SUM(J200)</f>
        <v>0</v>
      </c>
      <c r="I185" s="444">
        <f t="shared" si="9"/>
        <v>0</v>
      </c>
      <c r="J185" s="465">
        <f>SUM(L200)</f>
        <v>0</v>
      </c>
      <c r="K185" s="754" t="s">
        <v>578</v>
      </c>
      <c r="L185" s="734"/>
      <c r="M185" s="734"/>
      <c r="N185" s="770"/>
      <c r="O185" s="304" t="s">
        <v>89</v>
      </c>
      <c r="Q185" s="37" t="s">
        <v>156</v>
      </c>
      <c r="R185" s="296">
        <v>0.25</v>
      </c>
      <c r="S185" s="296">
        <v>0</v>
      </c>
      <c r="T185" s="296">
        <v>1</v>
      </c>
      <c r="U185" s="297">
        <f>T186</f>
        <v>0</v>
      </c>
      <c r="V185" s="297">
        <f>T187</f>
        <v>0.5</v>
      </c>
      <c r="W185" s="298">
        <f>T188</f>
        <v>0</v>
      </c>
    </row>
    <row r="186" spans="1:23" x14ac:dyDescent="0.25">
      <c r="C186" s="4"/>
      <c r="D186" s="4"/>
      <c r="E186" s="4"/>
      <c r="F186" s="424"/>
      <c r="G186" s="435"/>
      <c r="H186" s="465">
        <f>SUM(J206)</f>
        <v>0</v>
      </c>
      <c r="I186" s="444">
        <f t="shared" si="9"/>
        <v>0</v>
      </c>
      <c r="J186" s="465">
        <f>SUM(L206)</f>
        <v>0</v>
      </c>
      <c r="K186" s="754" t="s">
        <v>627</v>
      </c>
      <c r="L186" s="734"/>
      <c r="M186" s="734"/>
      <c r="N186" s="770"/>
      <c r="O186" s="304" t="s">
        <v>89</v>
      </c>
      <c r="Q186" s="37" t="s">
        <v>63</v>
      </c>
      <c r="R186" s="296">
        <v>0</v>
      </c>
      <c r="S186" s="296">
        <v>0.25</v>
      </c>
      <c r="T186" s="296">
        <v>0</v>
      </c>
      <c r="U186" s="296">
        <v>1</v>
      </c>
      <c r="V186" s="297">
        <f>U187</f>
        <v>0.5</v>
      </c>
      <c r="W186" s="298">
        <f>U188</f>
        <v>0</v>
      </c>
    </row>
    <row r="187" spans="1:23" x14ac:dyDescent="0.25">
      <c r="C187" s="4"/>
      <c r="D187" s="4"/>
      <c r="E187" s="4"/>
      <c r="F187" s="424"/>
      <c r="G187" s="435"/>
      <c r="H187" s="465">
        <f>SUM(J211)</f>
        <v>0</v>
      </c>
      <c r="I187" s="444">
        <f t="shared" si="9"/>
        <v>0</v>
      </c>
      <c r="J187" s="465">
        <f>SUM(L211)</f>
        <v>0</v>
      </c>
      <c r="K187" s="754" t="s">
        <v>147</v>
      </c>
      <c r="L187" s="734"/>
      <c r="M187" s="734"/>
      <c r="N187" s="770"/>
      <c r="O187" s="304" t="s">
        <v>89</v>
      </c>
      <c r="Q187" s="37" t="s">
        <v>64</v>
      </c>
      <c r="R187" s="296">
        <v>0.25</v>
      </c>
      <c r="S187" s="296">
        <v>0.25</v>
      </c>
      <c r="T187" s="296">
        <v>0.5</v>
      </c>
      <c r="U187" s="296">
        <v>0.5</v>
      </c>
      <c r="V187" s="296">
        <v>1</v>
      </c>
      <c r="W187" s="298">
        <f>V188</f>
        <v>0.5</v>
      </c>
    </row>
    <row r="188" spans="1:23" x14ac:dyDescent="0.25">
      <c r="C188" s="4"/>
      <c r="D188" s="4"/>
      <c r="E188" s="4"/>
      <c r="F188" s="427"/>
      <c r="G188" s="436"/>
      <c r="H188" s="473">
        <f>SUM(J212)</f>
        <v>0</v>
      </c>
      <c r="I188" s="456">
        <f t="shared" si="9"/>
        <v>0</v>
      </c>
      <c r="J188" s="473">
        <f>SUM(L212)</f>
        <v>0</v>
      </c>
      <c r="K188" s="775" t="s">
        <v>65</v>
      </c>
      <c r="L188" s="772"/>
      <c r="M188" s="772"/>
      <c r="N188" s="773"/>
      <c r="O188" s="304" t="s">
        <v>89</v>
      </c>
      <c r="Q188" s="41" t="s">
        <v>65</v>
      </c>
      <c r="R188" s="299">
        <v>0</v>
      </c>
      <c r="S188" s="299">
        <v>0.25</v>
      </c>
      <c r="T188" s="299">
        <v>0</v>
      </c>
      <c r="U188" s="299">
        <v>0</v>
      </c>
      <c r="V188" s="299">
        <v>0.5</v>
      </c>
      <c r="W188" s="299">
        <v>1</v>
      </c>
    </row>
    <row r="189" spans="1:23" x14ac:dyDescent="0.25">
      <c r="C189" s="4"/>
      <c r="D189" s="4"/>
      <c r="E189" s="4"/>
      <c r="F189" s="4"/>
      <c r="O189" s="304" t="s">
        <v>89</v>
      </c>
    </row>
    <row r="190" spans="1:23" x14ac:dyDescent="0.25">
      <c r="A190" s="134" t="s">
        <v>837</v>
      </c>
      <c r="B190" s="135" t="str">
        <f>HYPERLINK(_TS_&amp;"#"&amp;SUBSTITUTE(A190,".","_"),"Open")</f>
        <v>Open</v>
      </c>
      <c r="C190" s="4"/>
      <c r="D190" s="4"/>
      <c r="E190" s="4"/>
      <c r="F190" s="695" t="s">
        <v>548</v>
      </c>
      <c r="G190" s="695" t="s">
        <v>549</v>
      </c>
      <c r="H190" s="695" t="s">
        <v>550</v>
      </c>
      <c r="I190" s="695" t="s">
        <v>551</v>
      </c>
      <c r="J190" s="695" t="s">
        <v>552</v>
      </c>
      <c r="K190" s="71" t="s">
        <v>154</v>
      </c>
      <c r="L190" s="94"/>
      <c r="M190" s="94"/>
      <c r="N190" s="94"/>
      <c r="O190" s="304" t="s">
        <v>89</v>
      </c>
      <c r="Q190" s="295" t="s">
        <v>157</v>
      </c>
      <c r="R190" s="34" t="s">
        <v>158</v>
      </c>
      <c r="S190" s="36" t="s">
        <v>159</v>
      </c>
    </row>
    <row r="191" spans="1:23" x14ac:dyDescent="0.25">
      <c r="C191" s="4"/>
      <c r="D191" s="4"/>
      <c r="E191" s="4"/>
      <c r="F191" s="453">
        <f>SUM(H192:H194)</f>
        <v>0</v>
      </c>
      <c r="G191" s="453">
        <f>SUM(H191)-SUM(F191)</f>
        <v>0</v>
      </c>
      <c r="H191" s="451">
        <f>SQRT(SUMSQ(H192:H194))</f>
        <v>0</v>
      </c>
      <c r="I191" s="448">
        <f>SUM(H191)-SUM(J191)</f>
        <v>0</v>
      </c>
      <c r="J191" s="451">
        <f>SQRT(SUMSQ(J192:J194))</f>
        <v>0</v>
      </c>
      <c r="K191" s="776" t="s">
        <v>617</v>
      </c>
      <c r="L191" s="777"/>
      <c r="M191" s="777"/>
      <c r="N191" s="778"/>
      <c r="O191" s="304" t="s">
        <v>89</v>
      </c>
      <c r="Q191" s="37" t="s">
        <v>158</v>
      </c>
      <c r="R191" s="296">
        <v>1</v>
      </c>
      <c r="S191" s="298">
        <f>R192</f>
        <v>0</v>
      </c>
    </row>
    <row r="192" spans="1:23" x14ac:dyDescent="0.25">
      <c r="C192" s="4"/>
      <c r="D192" s="4"/>
      <c r="E192" s="4"/>
      <c r="F192" s="424"/>
      <c r="G192" s="435"/>
      <c r="H192" s="514" t="s">
        <v>521</v>
      </c>
      <c r="I192" s="444">
        <f>SUM(J192)-SUM(H192)</f>
        <v>0</v>
      </c>
      <c r="J192" s="514" t="str">
        <f>H192</f>
        <v>-</v>
      </c>
      <c r="K192" s="754" t="s">
        <v>836</v>
      </c>
      <c r="L192" s="734"/>
      <c r="M192" s="734"/>
      <c r="N192" s="770"/>
      <c r="O192" s="304" t="s">
        <v>89</v>
      </c>
      <c r="Q192" s="41" t="s">
        <v>159</v>
      </c>
      <c r="R192" s="299">
        <v>0</v>
      </c>
      <c r="S192" s="299">
        <v>1</v>
      </c>
    </row>
    <row r="193" spans="3:15" x14ac:dyDescent="0.25">
      <c r="C193" s="4"/>
      <c r="D193" s="4"/>
      <c r="E193" s="4"/>
      <c r="F193" s="424"/>
      <c r="G193" s="435"/>
      <c r="H193" s="514" t="s">
        <v>521</v>
      </c>
      <c r="I193" s="444">
        <f>SUM(J193)-SUM(H193)</f>
        <v>0</v>
      </c>
      <c r="J193" s="514" t="str">
        <f>H193</f>
        <v>-</v>
      </c>
      <c r="K193" s="754" t="s">
        <v>445</v>
      </c>
      <c r="L193" s="734"/>
      <c r="M193" s="734"/>
      <c r="N193" s="770"/>
      <c r="O193" s="304" t="s">
        <v>89</v>
      </c>
    </row>
    <row r="194" spans="3:15" x14ac:dyDescent="0.25">
      <c r="C194" s="4"/>
      <c r="D194" s="4"/>
      <c r="E194" s="4"/>
      <c r="F194" s="427"/>
      <c r="G194" s="436"/>
      <c r="H194" s="519" t="s">
        <v>521</v>
      </c>
      <c r="I194" s="456">
        <f>SUM(J194)-SUM(H194)</f>
        <v>0</v>
      </c>
      <c r="J194" s="519" t="str">
        <f>H194</f>
        <v>-</v>
      </c>
      <c r="K194" s="775" t="s">
        <v>446</v>
      </c>
      <c r="L194" s="772"/>
      <c r="M194" s="772"/>
      <c r="N194" s="773"/>
      <c r="O194" s="304" t="s">
        <v>89</v>
      </c>
    </row>
    <row r="195" spans="3:15" x14ac:dyDescent="0.25">
      <c r="C195" s="203"/>
      <c r="D195" s="204"/>
      <c r="E195" s="402"/>
      <c r="F195" s="4"/>
      <c r="H195" s="402"/>
      <c r="I195" s="402"/>
      <c r="J195" s="402"/>
      <c r="O195" s="304" t="s">
        <v>89</v>
      </c>
    </row>
    <row r="196" spans="3:15" x14ac:dyDescent="0.25">
      <c r="C196" s="1149" t="s">
        <v>737</v>
      </c>
      <c r="D196" s="1150"/>
      <c r="E196" s="205" t="s">
        <v>89</v>
      </c>
      <c r="F196" s="782" t="s">
        <v>735</v>
      </c>
      <c r="G196" s="691"/>
      <c r="H196" s="788" t="s">
        <v>584</v>
      </c>
      <c r="I196" s="787"/>
      <c r="J196" s="783"/>
      <c r="K196" s="784" t="str">
        <f>K164</f>
        <v>Scenario based stressed values</v>
      </c>
      <c r="L196" s="785"/>
      <c r="M196" s="788" t="s">
        <v>586</v>
      </c>
      <c r="N196" s="787"/>
      <c r="O196" s="304" t="s">
        <v>89</v>
      </c>
    </row>
    <row r="197" spans="3:15" x14ac:dyDescent="0.25">
      <c r="C197" s="1185" t="s">
        <v>587</v>
      </c>
      <c r="D197" s="1186"/>
      <c r="E197" s="205" t="s">
        <v>89</v>
      </c>
      <c r="F197" s="695" t="s">
        <v>0</v>
      </c>
      <c r="G197" s="695" t="s">
        <v>20</v>
      </c>
      <c r="H197" s="789" t="s">
        <v>0</v>
      </c>
      <c r="I197" s="695" t="s">
        <v>20</v>
      </c>
      <c r="J197" s="695" t="s">
        <v>550</v>
      </c>
      <c r="K197" s="695" t="s">
        <v>551</v>
      </c>
      <c r="L197" s="695" t="s">
        <v>552</v>
      </c>
      <c r="M197" s="695" t="s">
        <v>0</v>
      </c>
      <c r="N197" s="695" t="s">
        <v>20</v>
      </c>
      <c r="O197" s="304" t="s">
        <v>89</v>
      </c>
    </row>
    <row r="198" spans="3:15" x14ac:dyDescent="0.25">
      <c r="C198" s="1183" t="s">
        <v>576</v>
      </c>
      <c r="D198" s="1157"/>
      <c r="E198" s="157" t="s">
        <v>89</v>
      </c>
      <c r="F198" s="520" t="s">
        <v>521</v>
      </c>
      <c r="G198" s="522" t="s">
        <v>521</v>
      </c>
      <c r="H198" s="521" t="s">
        <v>521</v>
      </c>
      <c r="I198" s="522" t="s">
        <v>521</v>
      </c>
      <c r="J198" s="478">
        <f>IF(AND(F198&lt;&gt;"-",G198&lt;&gt;"-",H198&lt;&gt;"-",I198&lt;&gt;"-"),MAX((SUM(F198)-SUM(G198))-(SUM(H198)-SUM(I198)),0),0)</f>
        <v>0</v>
      </c>
      <c r="K198" s="443">
        <f>SUM(L198)-SUM(J198)</f>
        <v>0</v>
      </c>
      <c r="L198" s="446">
        <f>IF(AND(F198&lt;&gt;"-",G198&lt;&gt;"-",M198&lt;&gt;"-",N198&lt;&gt;"-"),MAX((SUM(F198)-SUM(G198))-(SUM(M198)-SUM(N198)),0),0)</f>
        <v>0</v>
      </c>
      <c r="M198" s="521" t="s">
        <v>521</v>
      </c>
      <c r="N198" s="522" t="s">
        <v>521</v>
      </c>
      <c r="O198" s="304" t="s">
        <v>89</v>
      </c>
    </row>
    <row r="199" spans="3:15" x14ac:dyDescent="0.25">
      <c r="C199" s="1158" t="s">
        <v>577</v>
      </c>
      <c r="D199" s="1159"/>
      <c r="E199" s="155" t="s">
        <v>89</v>
      </c>
      <c r="F199" s="525" t="s">
        <v>521</v>
      </c>
      <c r="G199" s="527" t="s">
        <v>521</v>
      </c>
      <c r="H199" s="523" t="s">
        <v>521</v>
      </c>
      <c r="I199" s="524" t="s">
        <v>521</v>
      </c>
      <c r="J199" s="465">
        <f>IF(AND(F199&lt;&gt;"-",G199&lt;&gt;"-",H199&lt;&gt;"-",I199&lt;&gt;"-"),MAX((SUM(F199)-SUM(G199))-(SUM(H199)-SUM(I199)),0),0)</f>
        <v>0</v>
      </c>
      <c r="K199" s="444">
        <f>SUM(L199)-SUM(J199)</f>
        <v>0</v>
      </c>
      <c r="L199" s="447">
        <f>IF(AND(F199&lt;&gt;"-",G199&lt;&gt;"-",M199&lt;&gt;"-",N199&lt;&gt;"-"),MAX((SUM(F199)-SUM(G199))-(SUM(M199)-SUM(N199)),0),0)</f>
        <v>0</v>
      </c>
      <c r="M199" s="523" t="s">
        <v>521</v>
      </c>
      <c r="N199" s="524" t="s">
        <v>521</v>
      </c>
      <c r="O199" s="304" t="s">
        <v>89</v>
      </c>
    </row>
    <row r="200" spans="3:15" x14ac:dyDescent="0.25">
      <c r="C200" s="1183" t="s">
        <v>621</v>
      </c>
      <c r="D200" s="1157"/>
      <c r="E200" s="157" t="s">
        <v>89</v>
      </c>
      <c r="F200" s="424"/>
      <c r="G200" s="425"/>
      <c r="H200" s="437"/>
      <c r="I200" s="432"/>
      <c r="J200" s="478">
        <f>SUM(J201,J205)</f>
        <v>0</v>
      </c>
      <c r="K200" s="443">
        <f>SUM(L200)-SUM(J200)</f>
        <v>0</v>
      </c>
      <c r="L200" s="443">
        <f>SUM(L201,L205)</f>
        <v>0</v>
      </c>
      <c r="M200" s="437"/>
      <c r="N200" s="432"/>
      <c r="O200" s="304" t="s">
        <v>89</v>
      </c>
    </row>
    <row r="201" spans="3:15" x14ac:dyDescent="0.25">
      <c r="C201" s="1187" t="s">
        <v>632</v>
      </c>
      <c r="D201" s="1168"/>
      <c r="E201" s="157" t="s">
        <v>89</v>
      </c>
      <c r="F201" s="431"/>
      <c r="G201" s="432"/>
      <c r="H201" s="437"/>
      <c r="I201" s="432"/>
      <c r="J201" s="453">
        <f>IF($J202="Up",J203,J204)</f>
        <v>0</v>
      </c>
      <c r="K201" s="448">
        <f>SUM(L201)-SUM(J201)</f>
        <v>0</v>
      </c>
      <c r="L201" s="455">
        <f>IF($J202="Up",L203,L204)</f>
        <v>0</v>
      </c>
      <c r="M201" s="437"/>
      <c r="N201" s="432"/>
      <c r="O201" s="304" t="s">
        <v>89</v>
      </c>
    </row>
    <row r="202" spans="3:15" x14ac:dyDescent="0.25">
      <c r="C202" s="1188" t="s">
        <v>633</v>
      </c>
      <c r="D202" s="1189"/>
      <c r="E202" s="155" t="s">
        <v>89</v>
      </c>
      <c r="F202" s="424"/>
      <c r="G202" s="425"/>
      <c r="H202" s="435"/>
      <c r="I202" s="425"/>
      <c r="J202" s="1160" t="str">
        <f>IF(SUM(L203)&gt;SUM(L204),"Up","Down")</f>
        <v>Down</v>
      </c>
      <c r="K202" s="1161"/>
      <c r="L202" s="1162"/>
      <c r="M202" s="435"/>
      <c r="N202" s="425"/>
      <c r="O202" s="304" t="s">
        <v>89</v>
      </c>
    </row>
    <row r="203" spans="3:15" x14ac:dyDescent="0.25">
      <c r="C203" s="1169" t="s">
        <v>443</v>
      </c>
      <c r="D203" s="1170"/>
      <c r="E203" s="155" t="s">
        <v>89</v>
      </c>
      <c r="F203" s="515" t="s">
        <v>521</v>
      </c>
      <c r="G203" s="524" t="s">
        <v>521</v>
      </c>
      <c r="H203" s="523" t="s">
        <v>521</v>
      </c>
      <c r="I203" s="524" t="s">
        <v>521</v>
      </c>
      <c r="J203" s="465">
        <f t="shared" ref="J203:J212" si="10">IF(AND(F203&lt;&gt;"-",G203&lt;&gt;"-",H203&lt;&gt;"-",I203&lt;&gt;"-"),MAX((SUM(F203)-SUM(G203))-(SUM(H203)-SUM(I203)),0),0)</f>
        <v>0</v>
      </c>
      <c r="K203" s="444">
        <f t="shared" ref="K203:K212" si="11">SUM(L203)-SUM(J203)</f>
        <v>0</v>
      </c>
      <c r="L203" s="447">
        <f t="shared" ref="L203:L212" si="12">IF(AND(F203&lt;&gt;"-",G203&lt;&gt;"-",M203&lt;&gt;"-",N203&lt;&gt;"-"),MAX((SUM(F203)-SUM(G203))-(SUM(M203)-SUM(N203)),0),0)</f>
        <v>0</v>
      </c>
      <c r="M203" s="523" t="s">
        <v>521</v>
      </c>
      <c r="N203" s="524" t="s">
        <v>521</v>
      </c>
      <c r="O203" s="304" t="s">
        <v>89</v>
      </c>
    </row>
    <row r="204" spans="3:15" x14ac:dyDescent="0.25">
      <c r="C204" s="1171" t="s">
        <v>444</v>
      </c>
      <c r="D204" s="1172"/>
      <c r="E204" s="161" t="s">
        <v>89</v>
      </c>
      <c r="F204" s="525" t="s">
        <v>521</v>
      </c>
      <c r="G204" s="527" t="s">
        <v>521</v>
      </c>
      <c r="H204" s="526" t="s">
        <v>521</v>
      </c>
      <c r="I204" s="527" t="s">
        <v>521</v>
      </c>
      <c r="J204" s="473">
        <f t="shared" si="10"/>
        <v>0</v>
      </c>
      <c r="K204" s="456">
        <f t="shared" si="11"/>
        <v>0</v>
      </c>
      <c r="L204" s="479">
        <f t="shared" si="12"/>
        <v>0</v>
      </c>
      <c r="M204" s="526" t="s">
        <v>521</v>
      </c>
      <c r="N204" s="527" t="s">
        <v>521</v>
      </c>
      <c r="O204" s="304" t="s">
        <v>89</v>
      </c>
    </row>
    <row r="205" spans="3:15" x14ac:dyDescent="0.25">
      <c r="C205" s="1190" t="s">
        <v>634</v>
      </c>
      <c r="D205" s="1191"/>
      <c r="E205" s="161" t="s">
        <v>89</v>
      </c>
      <c r="F205" s="525" t="s">
        <v>521</v>
      </c>
      <c r="G205" s="527" t="s">
        <v>521</v>
      </c>
      <c r="H205" s="526" t="s">
        <v>521</v>
      </c>
      <c r="I205" s="527" t="s">
        <v>521</v>
      </c>
      <c r="J205" s="473">
        <f t="shared" si="10"/>
        <v>0</v>
      </c>
      <c r="K205" s="456">
        <f t="shared" si="11"/>
        <v>0</v>
      </c>
      <c r="L205" s="479">
        <f t="shared" si="12"/>
        <v>0</v>
      </c>
      <c r="M205" s="526" t="s">
        <v>521</v>
      </c>
      <c r="N205" s="527" t="s">
        <v>521</v>
      </c>
      <c r="O205" s="304" t="s">
        <v>89</v>
      </c>
    </row>
    <row r="206" spans="3:15" x14ac:dyDescent="0.25">
      <c r="C206" s="1183" t="s">
        <v>622</v>
      </c>
      <c r="D206" s="1157"/>
      <c r="E206" s="157" t="s">
        <v>89</v>
      </c>
      <c r="F206" s="431"/>
      <c r="G206" s="432"/>
      <c r="H206" s="437"/>
      <c r="I206" s="432"/>
      <c r="J206" s="475">
        <f>IF($J207="Up",J208,IF($J207="Down",J209,J210))</f>
        <v>0</v>
      </c>
      <c r="K206" s="448">
        <f>SUM(L206)-SUM(J206)</f>
        <v>0</v>
      </c>
      <c r="L206" s="448">
        <f>IF($J207="Up",L208,IF($J207="Down",L209,L210))</f>
        <v>0</v>
      </c>
      <c r="M206" s="437"/>
      <c r="N206" s="432"/>
      <c r="O206" s="304" t="s">
        <v>89</v>
      </c>
    </row>
    <row r="207" spans="3:15" x14ac:dyDescent="0.25">
      <c r="C207" s="1158" t="s">
        <v>623</v>
      </c>
      <c r="D207" s="1159"/>
      <c r="E207" s="155" t="s">
        <v>89</v>
      </c>
      <c r="F207" s="424"/>
      <c r="G207" s="425"/>
      <c r="H207" s="435"/>
      <c r="I207" s="425"/>
      <c r="J207" s="1160" t="str">
        <f>IF(MAX(L208:L210)=L209,"Down",IF(MAX(L208:L210)=L208,"Up","Mass"))</f>
        <v>Down</v>
      </c>
      <c r="K207" s="1161"/>
      <c r="L207" s="1162"/>
      <c r="M207" s="435"/>
      <c r="N207" s="425"/>
      <c r="O207" s="304" t="s">
        <v>89</v>
      </c>
    </row>
    <row r="208" spans="3:15" x14ac:dyDescent="0.25">
      <c r="C208" s="1176" t="s">
        <v>624</v>
      </c>
      <c r="D208" s="1159"/>
      <c r="E208" s="155" t="s">
        <v>89</v>
      </c>
      <c r="F208" s="566" t="s">
        <v>521</v>
      </c>
      <c r="G208" s="568" t="s">
        <v>521</v>
      </c>
      <c r="H208" s="567" t="s">
        <v>521</v>
      </c>
      <c r="I208" s="568" t="s">
        <v>521</v>
      </c>
      <c r="J208" s="465">
        <f>IF(AND(F208&lt;&gt;"-",G208&lt;&gt;"-",H208&lt;&gt;"-",I208&lt;&gt;"-"),MAX((SUM(F208)-SUM(G208))-(SUM(H208)-SUM(I208)),0),0)</f>
        <v>0</v>
      </c>
      <c r="K208" s="444">
        <f>SUM(L208)-SUM(J208)</f>
        <v>0</v>
      </c>
      <c r="L208" s="447">
        <f>IF(AND(F208&lt;&gt;"-",G208&lt;&gt;"-",M208&lt;&gt;"-",N208&lt;&gt;"-"),MAX((SUM(F208)-SUM(G208))-(SUM(M208)-SUM(N208)),0),0)</f>
        <v>0</v>
      </c>
      <c r="M208" s="567" t="s">
        <v>521</v>
      </c>
      <c r="N208" s="568" t="s">
        <v>521</v>
      </c>
      <c r="O208" s="304" t="s">
        <v>89</v>
      </c>
    </row>
    <row r="209" spans="1:21" x14ac:dyDescent="0.25">
      <c r="C209" s="1176" t="s">
        <v>625</v>
      </c>
      <c r="D209" s="1159"/>
      <c r="E209" s="155" t="s">
        <v>89</v>
      </c>
      <c r="F209" s="566" t="s">
        <v>521</v>
      </c>
      <c r="G209" s="568" t="s">
        <v>521</v>
      </c>
      <c r="H209" s="567" t="s">
        <v>521</v>
      </c>
      <c r="I209" s="568" t="s">
        <v>521</v>
      </c>
      <c r="J209" s="465">
        <f>IF(AND(F209&lt;&gt;"-",G209&lt;&gt;"-",H209&lt;&gt;"-",I209&lt;&gt;"-"),MAX((SUM(F209)-SUM(G209))-(SUM(H209)-SUM(I209)),0),0)</f>
        <v>0</v>
      </c>
      <c r="K209" s="444">
        <f>SUM(L209)-SUM(J209)</f>
        <v>0</v>
      </c>
      <c r="L209" s="447">
        <f>IF(AND(F209&lt;&gt;"-",G209&lt;&gt;"-",M209&lt;&gt;"-",N209&lt;&gt;"-"),MAX((SUM(F209)-SUM(G209))-(SUM(M209)-SUM(N209)),0),0)</f>
        <v>0</v>
      </c>
      <c r="M209" s="567" t="s">
        <v>521</v>
      </c>
      <c r="N209" s="568" t="s">
        <v>521</v>
      </c>
      <c r="O209" s="304" t="s">
        <v>89</v>
      </c>
    </row>
    <row r="210" spans="1:21" x14ac:dyDescent="0.25">
      <c r="C210" s="1177" t="s">
        <v>626</v>
      </c>
      <c r="D210" s="1178"/>
      <c r="E210" s="161" t="s">
        <v>89</v>
      </c>
      <c r="F210" s="569" t="s">
        <v>521</v>
      </c>
      <c r="G210" s="571" t="s">
        <v>521</v>
      </c>
      <c r="H210" s="570" t="s">
        <v>521</v>
      </c>
      <c r="I210" s="571" t="s">
        <v>521</v>
      </c>
      <c r="J210" s="473">
        <f>IF(AND(F210&lt;&gt;"-",G210&lt;&gt;"-",H210&lt;&gt;"-",I210&lt;&gt;"-"),MAX((SUM(F210)-SUM(G210))-(SUM(H210)-SUM(I210)),0),0)</f>
        <v>0</v>
      </c>
      <c r="K210" s="456">
        <f>SUM(L210)-SUM(J210)</f>
        <v>0</v>
      </c>
      <c r="L210" s="479">
        <f>IF(AND(F210&lt;&gt;"-",G210&lt;&gt;"-",M210&lt;&gt;"-",N210&lt;&gt;"-"),MAX((SUM(F210)-SUM(G210))-(SUM(M210)-SUM(N210)),0),0)</f>
        <v>0</v>
      </c>
      <c r="M210" s="570" t="s">
        <v>521</v>
      </c>
      <c r="N210" s="571" t="s">
        <v>521</v>
      </c>
      <c r="O210" s="304" t="s">
        <v>89</v>
      </c>
    </row>
    <row r="211" spans="1:21" x14ac:dyDescent="0.25">
      <c r="C211" s="1158" t="s">
        <v>147</v>
      </c>
      <c r="D211" s="1159"/>
      <c r="E211" s="155" t="s">
        <v>89</v>
      </c>
      <c r="F211" s="515" t="s">
        <v>521</v>
      </c>
      <c r="G211" s="524" t="s">
        <v>521</v>
      </c>
      <c r="H211" s="523" t="s">
        <v>521</v>
      </c>
      <c r="I211" s="524" t="s">
        <v>521</v>
      </c>
      <c r="J211" s="465">
        <f t="shared" si="10"/>
        <v>0</v>
      </c>
      <c r="K211" s="444">
        <f t="shared" si="11"/>
        <v>0</v>
      </c>
      <c r="L211" s="447">
        <f t="shared" si="12"/>
        <v>0</v>
      </c>
      <c r="M211" s="523" t="s">
        <v>521</v>
      </c>
      <c r="N211" s="524" t="s">
        <v>521</v>
      </c>
      <c r="O211" s="304" t="s">
        <v>89</v>
      </c>
    </row>
    <row r="212" spans="1:21" x14ac:dyDescent="0.25">
      <c r="C212" s="1184" t="s">
        <v>65</v>
      </c>
      <c r="D212" s="1178"/>
      <c r="E212" s="161" t="s">
        <v>89</v>
      </c>
      <c r="F212" s="525" t="s">
        <v>521</v>
      </c>
      <c r="G212" s="527" t="s">
        <v>521</v>
      </c>
      <c r="H212" s="526" t="s">
        <v>521</v>
      </c>
      <c r="I212" s="527" t="s">
        <v>521</v>
      </c>
      <c r="J212" s="473">
        <f t="shared" si="10"/>
        <v>0</v>
      </c>
      <c r="K212" s="456">
        <f t="shared" si="11"/>
        <v>0</v>
      </c>
      <c r="L212" s="479">
        <f t="shared" si="12"/>
        <v>0</v>
      </c>
      <c r="M212" s="526" t="s">
        <v>521</v>
      </c>
      <c r="N212" s="527" t="s">
        <v>521</v>
      </c>
      <c r="O212" s="304" t="s">
        <v>89</v>
      </c>
    </row>
    <row r="213" spans="1:21" x14ac:dyDescent="0.25">
      <c r="C213" s="4"/>
      <c r="D213" s="4"/>
      <c r="E213" s="4"/>
      <c r="F213" s="4"/>
      <c r="O213" s="304" t="s">
        <v>89</v>
      </c>
    </row>
    <row r="214" spans="1:21" x14ac:dyDescent="0.25">
      <c r="C214" s="4"/>
      <c r="D214" s="4"/>
      <c r="E214" s="4"/>
      <c r="F214" s="4"/>
      <c r="O214" s="304" t="s">
        <v>89</v>
      </c>
    </row>
    <row r="215" spans="1:21" x14ac:dyDescent="0.25">
      <c r="C215" s="1149" t="s">
        <v>1096</v>
      </c>
      <c r="D215" s="1150"/>
      <c r="E215" s="4"/>
      <c r="F215" s="4"/>
      <c r="O215" s="304" t="s">
        <v>89</v>
      </c>
    </row>
    <row r="216" spans="1:21" x14ac:dyDescent="0.25">
      <c r="A216" s="134" t="s">
        <v>1095</v>
      </c>
      <c r="B216" s="135" t="str">
        <f>HYPERLINK(_TS_&amp;"#"&amp;SUBSTITUTE(A216,".","_"),"Open")</f>
        <v>Open</v>
      </c>
      <c r="C216" s="790" t="s">
        <v>615</v>
      </c>
      <c r="D216" s="443">
        <f>3*SUM(D217)*SUM(D218)</f>
        <v>0</v>
      </c>
      <c r="E216" s="4"/>
      <c r="F216" s="4"/>
      <c r="O216" s="304" t="s">
        <v>89</v>
      </c>
    </row>
    <row r="217" spans="1:21" x14ac:dyDescent="0.25">
      <c r="C217" s="791" t="s">
        <v>842</v>
      </c>
      <c r="D217" s="444">
        <f>SUM(K222:K225)</f>
        <v>0</v>
      </c>
      <c r="E217" s="4"/>
      <c r="F217" s="4"/>
      <c r="O217" s="304" t="s">
        <v>89</v>
      </c>
    </row>
    <row r="218" spans="1:21" x14ac:dyDescent="0.25">
      <c r="C218" s="792" t="s">
        <v>843</v>
      </c>
      <c r="D218" s="360">
        <f>IF(AND(D217,D220),D220/D217,0)</f>
        <v>0</v>
      </c>
      <c r="E218" s="4"/>
      <c r="F218" s="4"/>
      <c r="O218" s="304" t="s">
        <v>89</v>
      </c>
    </row>
    <row r="219" spans="1:21" x14ac:dyDescent="0.25">
      <c r="C219" s="4"/>
      <c r="D219" s="4"/>
      <c r="E219" s="4"/>
      <c r="F219" s="4"/>
      <c r="O219" s="304" t="s">
        <v>89</v>
      </c>
    </row>
    <row r="220" spans="1:21" ht="15.75" thickBot="1" x14ac:dyDescent="0.3">
      <c r="C220" s="793" t="s">
        <v>1023</v>
      </c>
      <c r="D220" s="451">
        <f>SQRT(SUMPRODUCT(D222:D225,MMULT($R$222:$U$225,D222:D225*1)))</f>
        <v>0</v>
      </c>
      <c r="E220" s="4"/>
      <c r="F220" s="735" t="s">
        <v>853</v>
      </c>
      <c r="G220" s="692"/>
      <c r="H220" s="692"/>
      <c r="I220" s="692"/>
      <c r="J220" s="691"/>
      <c r="K220" s="735" t="s">
        <v>842</v>
      </c>
      <c r="L220" s="692"/>
      <c r="M220" s="692"/>
      <c r="N220" s="691"/>
      <c r="O220" s="304" t="s">
        <v>89</v>
      </c>
    </row>
    <row r="221" spans="1:21" ht="37.5" thickBot="1" x14ac:dyDescent="0.3">
      <c r="C221" s="794" t="s">
        <v>844</v>
      </c>
      <c r="D221" s="795" t="s">
        <v>1017</v>
      </c>
      <c r="E221" s="157" t="s">
        <v>89</v>
      </c>
      <c r="F221" s="796" t="s">
        <v>1109</v>
      </c>
      <c r="G221" s="797" t="s">
        <v>1022</v>
      </c>
      <c r="H221" s="797" t="s">
        <v>1021</v>
      </c>
      <c r="I221" s="797" t="s">
        <v>852</v>
      </c>
      <c r="J221" s="797" t="s">
        <v>851</v>
      </c>
      <c r="K221" s="796" t="s">
        <v>1015</v>
      </c>
      <c r="L221" s="797" t="s">
        <v>850</v>
      </c>
      <c r="M221" s="797" t="s">
        <v>1110</v>
      </c>
      <c r="N221" s="797" t="s">
        <v>1111</v>
      </c>
      <c r="O221" s="304" t="s">
        <v>89</v>
      </c>
      <c r="P221" s="213" t="s">
        <v>730</v>
      </c>
      <c r="Q221" s="214" t="s">
        <v>1013</v>
      </c>
      <c r="R221" s="215">
        <v>1</v>
      </c>
      <c r="S221" s="215">
        <v>2</v>
      </c>
      <c r="T221" s="215">
        <v>3</v>
      </c>
      <c r="U221" s="215">
        <v>4</v>
      </c>
    </row>
    <row r="222" spans="1:21" ht="15.75" thickBot="1" x14ac:dyDescent="0.3">
      <c r="B222" s="59"/>
      <c r="C222" s="679" t="s">
        <v>1092</v>
      </c>
      <c r="D222" s="450">
        <f>SUM(K222)*SUM(F222)</f>
        <v>0</v>
      </c>
      <c r="E222" s="155" t="s">
        <v>89</v>
      </c>
      <c r="F222" s="357">
        <f>IF(SUM(M222:N222),SQRT(H222^2+H222*G222+G222^2)/SUM(M222:N222),0)</f>
        <v>0</v>
      </c>
      <c r="G222" s="450">
        <f>SUM(M222)*SUM(I222)</f>
        <v>0</v>
      </c>
      <c r="H222" s="385">
        <f>'Shared-2013'!H137</f>
        <v>0</v>
      </c>
      <c r="I222" s="405">
        <v>0.05</v>
      </c>
      <c r="J222" s="390">
        <f>'Shared-2013'!D137</f>
        <v>0.05</v>
      </c>
      <c r="K222" s="450">
        <f>SUM(M222:N222)*(75%+25%*IF(L222="-",1,SUM(L222)))</f>
        <v>0</v>
      </c>
      <c r="L222" s="355" t="s">
        <v>521</v>
      </c>
      <c r="M222" s="528" t="s">
        <v>521</v>
      </c>
      <c r="N222" s="385">
        <f>SUM('Shared-2013'!D131)</f>
        <v>0</v>
      </c>
      <c r="O222" s="304" t="s">
        <v>89</v>
      </c>
      <c r="P222" s="134" t="s">
        <v>1093</v>
      </c>
      <c r="Q222" s="217" t="s">
        <v>1092</v>
      </c>
      <c r="R222" s="218">
        <v>1</v>
      </c>
      <c r="S222" s="219">
        <f>R223</f>
        <v>0.5</v>
      </c>
      <c r="T222" s="219">
        <f>R224</f>
        <v>0.5</v>
      </c>
      <c r="U222" s="219">
        <f>R225</f>
        <v>0.5</v>
      </c>
    </row>
    <row r="223" spans="1:21" ht="15.75" thickBot="1" x14ac:dyDescent="0.3">
      <c r="B223" s="59"/>
      <c r="C223" s="680" t="s">
        <v>1090</v>
      </c>
      <c r="D223" s="449">
        <f>SUM(K223)*SUM(F223)</f>
        <v>0</v>
      </c>
      <c r="E223" s="155" t="s">
        <v>89</v>
      </c>
      <c r="F223" s="358">
        <f>IF(SUM(M223:N223),SQRT(H223^2+H223*G223+G223^2)/SUM(M223:N223),0)</f>
        <v>0</v>
      </c>
      <c r="G223" s="449">
        <f>SUM(M223)*SUM(I223)</f>
        <v>0</v>
      </c>
      <c r="H223" s="392">
        <f>'Shared-2013'!H138</f>
        <v>0</v>
      </c>
      <c r="I223" s="406">
        <v>0.14000000000000001</v>
      </c>
      <c r="J223" s="391">
        <f>'Shared-2013'!D138</f>
        <v>0.09</v>
      </c>
      <c r="K223" s="449">
        <f>SUM(M223:N223)*(75%+25%*IF(L223="-",1,SUM(L223)))</f>
        <v>0</v>
      </c>
      <c r="L223" s="356" t="s">
        <v>521</v>
      </c>
      <c r="M223" s="514" t="s">
        <v>521</v>
      </c>
      <c r="N223" s="392">
        <f>SUM('Shared-2013'!D132)</f>
        <v>0</v>
      </c>
      <c r="O223" s="304" t="s">
        <v>89</v>
      </c>
      <c r="P223" s="135" t="str">
        <f>HYPERLINK(_TS_&amp;"#"&amp;SUBSTITUTE(P222,".","_"),"Open")</f>
        <v>Open</v>
      </c>
      <c r="Q223" s="217" t="s">
        <v>1090</v>
      </c>
      <c r="R223" s="222">
        <v>0.5</v>
      </c>
      <c r="S223" s="223">
        <v>1</v>
      </c>
      <c r="T223" s="224">
        <f>S224</f>
        <v>0.5</v>
      </c>
      <c r="U223" s="224">
        <f>S225</f>
        <v>0.5</v>
      </c>
    </row>
    <row r="224" spans="1:21" ht="15.75" thickBot="1" x14ac:dyDescent="0.3">
      <c r="B224" s="59"/>
      <c r="C224" s="680" t="s">
        <v>1091</v>
      </c>
      <c r="D224" s="449">
        <f>SUM(K224)*SUM(F224)</f>
        <v>0</v>
      </c>
      <c r="E224" s="155" t="s">
        <v>89</v>
      </c>
      <c r="F224" s="358">
        <f>IF(SUM(M224:N224),SQRT(H224^2+H224*G224+G224^2)/SUM(M224:N224),0)</f>
        <v>0</v>
      </c>
      <c r="G224" s="449">
        <f>SUM(M224)*SUM(I224)</f>
        <v>0</v>
      </c>
      <c r="H224" s="392">
        <f>'Shared-2013'!H139</f>
        <v>0</v>
      </c>
      <c r="I224" s="406">
        <v>0.11</v>
      </c>
      <c r="J224" s="391">
        <f>'Shared-2013'!D139</f>
        <v>0.08</v>
      </c>
      <c r="K224" s="449">
        <f>SUM(M224:N224)*(75%+25%*IF(L224="-",1,SUM(L224)))</f>
        <v>0</v>
      </c>
      <c r="L224" s="356" t="s">
        <v>521</v>
      </c>
      <c r="M224" s="514" t="s">
        <v>521</v>
      </c>
      <c r="N224" s="392">
        <f>SUM('Shared-2013'!D133)</f>
        <v>0</v>
      </c>
      <c r="O224" s="304" t="s">
        <v>89</v>
      </c>
      <c r="Q224" s="217" t="s">
        <v>1091</v>
      </c>
      <c r="R224" s="222">
        <v>0.5</v>
      </c>
      <c r="S224" s="223">
        <v>0.5</v>
      </c>
      <c r="T224" s="223">
        <v>1</v>
      </c>
      <c r="U224" s="224">
        <f>T225</f>
        <v>0.5</v>
      </c>
    </row>
    <row r="225" spans="1:29" ht="15.75" thickBot="1" x14ac:dyDescent="0.3">
      <c r="B225" s="59"/>
      <c r="C225" s="681" t="s">
        <v>1088</v>
      </c>
      <c r="D225" s="441">
        <f>SUM(K225)*SUM(F225)</f>
        <v>0</v>
      </c>
      <c r="E225" s="161" t="s">
        <v>89</v>
      </c>
      <c r="F225" s="359">
        <f>IF(SUM(M225:N225),SQRT(H225^2+H225*G225+G225^2)/SUM(M225:N225),0)</f>
        <v>0</v>
      </c>
      <c r="G225" s="441">
        <f>SUM(M225)*SUM(I225)</f>
        <v>0</v>
      </c>
      <c r="H225" s="394">
        <f>'Shared-2013'!H140</f>
        <v>0</v>
      </c>
      <c r="I225" s="407">
        <v>0.2</v>
      </c>
      <c r="J225" s="393">
        <f>'Shared-2013'!D140</f>
        <v>0.17</v>
      </c>
      <c r="K225" s="441">
        <f>SUM(M225:N225)*(75%+25%*IF(L225="-",1,SUM(L225)))</f>
        <v>0</v>
      </c>
      <c r="L225" s="362" t="s">
        <v>521</v>
      </c>
      <c r="M225" s="519" t="s">
        <v>521</v>
      </c>
      <c r="N225" s="394">
        <f>SUM('Shared-2013'!D134)</f>
        <v>0</v>
      </c>
      <c r="O225" s="304" t="s">
        <v>89</v>
      </c>
      <c r="Q225" s="217" t="s">
        <v>1088</v>
      </c>
      <c r="R225" s="222">
        <v>0.5</v>
      </c>
      <c r="S225" s="223">
        <v>0.5</v>
      </c>
      <c r="T225" s="223">
        <v>0.5</v>
      </c>
      <c r="U225" s="223">
        <v>1</v>
      </c>
    </row>
    <row r="226" spans="1:29" x14ac:dyDescent="0.25">
      <c r="C226" s="4"/>
      <c r="D226" s="4"/>
      <c r="E226" s="4"/>
      <c r="F226" s="4"/>
      <c r="O226" s="304" t="s">
        <v>89</v>
      </c>
    </row>
    <row r="227" spans="1:29" x14ac:dyDescent="0.25">
      <c r="C227" s="4"/>
      <c r="D227" s="4"/>
      <c r="E227" s="4"/>
      <c r="F227" s="782" t="s">
        <v>735</v>
      </c>
      <c r="G227" s="691"/>
      <c r="H227" s="782" t="s">
        <v>999</v>
      </c>
      <c r="I227" s="691"/>
      <c r="O227" s="304" t="s">
        <v>89</v>
      </c>
    </row>
    <row r="228" spans="1:29" x14ac:dyDescent="0.25">
      <c r="C228" s="4"/>
      <c r="D228" s="4"/>
      <c r="E228" s="4"/>
      <c r="F228" s="695" t="s">
        <v>0</v>
      </c>
      <c r="G228" s="695" t="s">
        <v>20</v>
      </c>
      <c r="H228" s="789" t="s">
        <v>0</v>
      </c>
      <c r="I228" s="695" t="s">
        <v>20</v>
      </c>
      <c r="O228" s="304" t="s">
        <v>89</v>
      </c>
    </row>
    <row r="229" spans="1:29" x14ac:dyDescent="0.25">
      <c r="C229" s="798" t="s">
        <v>1097</v>
      </c>
      <c r="D229" s="448">
        <f>IF(AND(F229&lt;&gt;"-",G229&lt;&gt;"-",H229&lt;&gt;"-",I229&lt;&gt;"-"),MAX((SUM(F229)-SUM(G229))-(SUM(H229)-SUM(I229)),0),0)</f>
        <v>0</v>
      </c>
      <c r="E229" s="206" t="s">
        <v>89</v>
      </c>
      <c r="F229" s="529" t="s">
        <v>521</v>
      </c>
      <c r="G229" s="517" t="s">
        <v>521</v>
      </c>
      <c r="H229" s="933" t="s">
        <v>521</v>
      </c>
      <c r="I229" s="935" t="s">
        <v>521</v>
      </c>
      <c r="O229" s="304" t="s">
        <v>89</v>
      </c>
    </row>
    <row r="230" spans="1:29" x14ac:dyDescent="0.25">
      <c r="C230" s="4"/>
      <c r="D230" s="4"/>
      <c r="E230" s="4"/>
      <c r="F230" s="4"/>
      <c r="O230" s="304" t="s">
        <v>89</v>
      </c>
    </row>
    <row r="231" spans="1:29" x14ac:dyDescent="0.25">
      <c r="C231" s="1043" t="s">
        <v>1047</v>
      </c>
      <c r="D231" s="1111" t="str">
        <f>$D$63</f>
        <v>Illeszkedési kiigazítás</v>
      </c>
      <c r="E231" s="4"/>
      <c r="F231" s="4"/>
      <c r="O231" s="304" t="s">
        <v>89</v>
      </c>
    </row>
    <row r="232" spans="1:29" x14ac:dyDescent="0.25">
      <c r="C232" s="1045"/>
      <c r="D232" s="1112"/>
      <c r="E232" s="4"/>
      <c r="F232" s="4"/>
      <c r="O232" s="304" t="s">
        <v>89</v>
      </c>
    </row>
    <row r="233" spans="1:29" x14ac:dyDescent="0.25">
      <c r="C233" s="4"/>
      <c r="D233" s="4"/>
      <c r="E233" s="4"/>
      <c r="F233" s="4"/>
      <c r="O233" s="304" t="s">
        <v>89</v>
      </c>
    </row>
    <row r="234" spans="1:29" x14ac:dyDescent="0.25">
      <c r="A234" s="134" t="s">
        <v>841</v>
      </c>
      <c r="B234" s="135" t="str">
        <f>HYPERLINK(_TS_&amp;"#"&amp;SUBSTITUTE(A234,".","_"),"Open")</f>
        <v>Open</v>
      </c>
      <c r="C234" s="790" t="s">
        <v>615</v>
      </c>
      <c r="D234" s="443">
        <f>3*SUM(D235)*SUM(D236)</f>
        <v>0</v>
      </c>
      <c r="E234" s="4"/>
      <c r="F234" s="4"/>
      <c r="O234" s="304" t="s">
        <v>89</v>
      </c>
    </row>
    <row r="235" spans="1:29" x14ac:dyDescent="0.25">
      <c r="C235" s="791" t="s">
        <v>842</v>
      </c>
      <c r="D235" s="444">
        <f>SUM(K240:K251)</f>
        <v>0</v>
      </c>
      <c r="E235" s="4"/>
      <c r="F235" s="4"/>
      <c r="O235" s="304" t="s">
        <v>89</v>
      </c>
    </row>
    <row r="236" spans="1:29" x14ac:dyDescent="0.25">
      <c r="C236" s="792" t="s">
        <v>843</v>
      </c>
      <c r="D236" s="360">
        <f>IF(AND(D235,D238),D238/D235,0)</f>
        <v>0</v>
      </c>
      <c r="E236" s="4"/>
      <c r="F236" s="4"/>
      <c r="O236" s="304" t="s">
        <v>89</v>
      </c>
    </row>
    <row r="237" spans="1:29" ht="7.5" customHeight="1" x14ac:dyDescent="0.25">
      <c r="C237" s="4"/>
      <c r="D237" s="4"/>
      <c r="E237" s="4"/>
      <c r="F237" s="4"/>
      <c r="O237" s="304" t="s">
        <v>89</v>
      </c>
    </row>
    <row r="238" spans="1:29" ht="15.75" thickBot="1" x14ac:dyDescent="0.3">
      <c r="C238" s="793" t="s">
        <v>1023</v>
      </c>
      <c r="D238" s="451">
        <f>SQRT(SUMPRODUCT(D240:D251,MMULT($R$240:$AC$251,D240:D251*1)))</f>
        <v>0</v>
      </c>
      <c r="E238" s="4"/>
      <c r="F238" s="735" t="s">
        <v>853</v>
      </c>
      <c r="G238" s="692"/>
      <c r="H238" s="692"/>
      <c r="I238" s="692"/>
      <c r="J238" s="691"/>
      <c r="K238" s="735" t="s">
        <v>842</v>
      </c>
      <c r="L238" s="692"/>
      <c r="M238" s="692"/>
      <c r="N238" s="691"/>
      <c r="O238" s="304" t="s">
        <v>89</v>
      </c>
    </row>
    <row r="239" spans="1:29" ht="37.5" thickBot="1" x14ac:dyDescent="0.3">
      <c r="C239" s="794" t="s">
        <v>844</v>
      </c>
      <c r="D239" s="795" t="s">
        <v>1017</v>
      </c>
      <c r="E239" s="157" t="s">
        <v>89</v>
      </c>
      <c r="F239" s="796" t="s">
        <v>1018</v>
      </c>
      <c r="G239" s="677" t="s">
        <v>1022</v>
      </c>
      <c r="H239" s="677" t="s">
        <v>1021</v>
      </c>
      <c r="I239" s="677" t="s">
        <v>852</v>
      </c>
      <c r="J239" s="677" t="s">
        <v>851</v>
      </c>
      <c r="K239" s="796" t="s">
        <v>1015</v>
      </c>
      <c r="L239" s="677" t="s">
        <v>850</v>
      </c>
      <c r="M239" s="797" t="s">
        <v>1016</v>
      </c>
      <c r="N239" s="677" t="s">
        <v>849</v>
      </c>
      <c r="O239" s="304" t="s">
        <v>89</v>
      </c>
      <c r="P239" s="213" t="s">
        <v>730</v>
      </c>
      <c r="Q239" s="214" t="s">
        <v>1013</v>
      </c>
      <c r="R239" s="215">
        <v>1</v>
      </c>
      <c r="S239" s="215">
        <v>2</v>
      </c>
      <c r="T239" s="215">
        <v>3</v>
      </c>
      <c r="U239" s="215">
        <v>4</v>
      </c>
      <c r="V239" s="215">
        <v>5</v>
      </c>
      <c r="W239" s="215">
        <v>6</v>
      </c>
      <c r="X239" s="215">
        <v>7</v>
      </c>
      <c r="Y239" s="215">
        <v>8</v>
      </c>
      <c r="Z239" s="215">
        <v>9</v>
      </c>
      <c r="AA239" s="215">
        <v>10</v>
      </c>
      <c r="AB239" s="215">
        <v>11</v>
      </c>
      <c r="AC239" s="215">
        <v>12</v>
      </c>
    </row>
    <row r="240" spans="1:29" ht="15.75" thickBot="1" x14ac:dyDescent="0.3">
      <c r="B240" s="59">
        <v>1</v>
      </c>
      <c r="C240" s="679" t="s">
        <v>855</v>
      </c>
      <c r="D240" s="450">
        <f t="shared" ref="D240:D251" si="13">SUM(K240)*SUM(F240)</f>
        <v>0</v>
      </c>
      <c r="E240" s="155" t="s">
        <v>89</v>
      </c>
      <c r="F240" s="357">
        <f t="shared" ref="F240:F251" si="14">IF(SUM(M240:N240),SQRT(H240^2+H240*G240+G240^2)/SUM(M240:N240),0)</f>
        <v>0</v>
      </c>
      <c r="G240" s="450">
        <f t="shared" ref="G240:G251" si="15">SUM(M240)*SUM(I240)</f>
        <v>0</v>
      </c>
      <c r="H240" s="385">
        <f>'Shared-2013'!H115</f>
        <v>0</v>
      </c>
      <c r="I240" s="405">
        <v>0.09</v>
      </c>
      <c r="J240" s="390">
        <f>'Shared-2013'!D115</f>
        <v>0.1</v>
      </c>
      <c r="K240" s="450">
        <f t="shared" ref="K240:K251" si="16">SUM(M240:N240)*(75%+25%*IF(L240="-",1,SUM(L240)))</f>
        <v>0</v>
      </c>
      <c r="L240" s="355" t="s">
        <v>521</v>
      </c>
      <c r="M240" s="528" t="s">
        <v>521</v>
      </c>
      <c r="N240" s="385">
        <f>SUM('Shared-2013'!D101)</f>
        <v>0</v>
      </c>
      <c r="O240" s="304" t="s">
        <v>89</v>
      </c>
      <c r="P240" s="134" t="s">
        <v>1012</v>
      </c>
      <c r="Q240" s="217" t="s">
        <v>864</v>
      </c>
      <c r="R240" s="218">
        <v>1</v>
      </c>
      <c r="S240" s="219">
        <f>R241</f>
        <v>0.5</v>
      </c>
      <c r="T240" s="219">
        <f>R242</f>
        <v>0.5</v>
      </c>
      <c r="U240" s="219">
        <f>R243</f>
        <v>0.25</v>
      </c>
      <c r="V240" s="220">
        <f>R244</f>
        <v>0.5</v>
      </c>
      <c r="W240" s="220">
        <f>R245</f>
        <v>0.25</v>
      </c>
      <c r="X240" s="220">
        <f>R246</f>
        <v>0.5</v>
      </c>
      <c r="Y240" s="220">
        <f>R247</f>
        <v>0.25</v>
      </c>
      <c r="Z240" s="220">
        <f>R248</f>
        <v>0.5</v>
      </c>
      <c r="AA240" s="220">
        <f>R249</f>
        <v>0.25</v>
      </c>
      <c r="AB240" s="220">
        <f>R250</f>
        <v>0.25</v>
      </c>
      <c r="AC240" s="220">
        <f>R251</f>
        <v>0.25</v>
      </c>
    </row>
    <row r="241" spans="2:29" ht="15.75" thickBot="1" x14ac:dyDescent="0.3">
      <c r="B241" s="59">
        <v>2</v>
      </c>
      <c r="C241" s="680" t="s">
        <v>856</v>
      </c>
      <c r="D241" s="449">
        <f t="shared" si="13"/>
        <v>0</v>
      </c>
      <c r="E241" s="155" t="s">
        <v>89</v>
      </c>
      <c r="F241" s="358">
        <f t="shared" si="14"/>
        <v>0</v>
      </c>
      <c r="G241" s="449">
        <f t="shared" si="15"/>
        <v>0</v>
      </c>
      <c r="H241" s="392">
        <f>'Shared-2013'!H116</f>
        <v>0</v>
      </c>
      <c r="I241" s="406">
        <v>0.08</v>
      </c>
      <c r="J241" s="391">
        <f>'Shared-2013'!D116</f>
        <v>0.08</v>
      </c>
      <c r="K241" s="449">
        <f t="shared" si="16"/>
        <v>0</v>
      </c>
      <c r="L241" s="356" t="s">
        <v>521</v>
      </c>
      <c r="M241" s="514" t="s">
        <v>521</v>
      </c>
      <c r="N241" s="392">
        <f>SUM('Shared-2013'!D102)</f>
        <v>0</v>
      </c>
      <c r="O241" s="304" t="s">
        <v>89</v>
      </c>
      <c r="P241" s="135" t="str">
        <f>HYPERLINK(_TS_&amp;"#"&amp;SUBSTITUTE(P240,".","_"),"Open")</f>
        <v>Open</v>
      </c>
      <c r="Q241" s="217" t="s">
        <v>865</v>
      </c>
      <c r="R241" s="222">
        <v>0.5</v>
      </c>
      <c r="S241" s="223">
        <v>1</v>
      </c>
      <c r="T241" s="224">
        <f>S242</f>
        <v>0.25</v>
      </c>
      <c r="U241" s="224">
        <f>S243</f>
        <v>0.25</v>
      </c>
      <c r="V241" s="224">
        <f>S244</f>
        <v>0.25</v>
      </c>
      <c r="W241" s="224">
        <f>S245</f>
        <v>0.25</v>
      </c>
      <c r="X241" s="220">
        <f>S246</f>
        <v>0.5</v>
      </c>
      <c r="Y241" s="220">
        <f>S247</f>
        <v>0.5</v>
      </c>
      <c r="Z241" s="220">
        <f>S248</f>
        <v>0.5</v>
      </c>
      <c r="AA241" s="220">
        <f>S249</f>
        <v>0.25</v>
      </c>
      <c r="AB241" s="220">
        <f>S250</f>
        <v>0.25</v>
      </c>
      <c r="AC241" s="220">
        <f>S251</f>
        <v>0.25</v>
      </c>
    </row>
    <row r="242" spans="2:29" ht="15.75" thickBot="1" x14ac:dyDescent="0.3">
      <c r="B242" s="59">
        <v>3</v>
      </c>
      <c r="C242" s="680" t="s">
        <v>857</v>
      </c>
      <c r="D242" s="449">
        <f t="shared" si="13"/>
        <v>0</v>
      </c>
      <c r="E242" s="155" t="s">
        <v>89</v>
      </c>
      <c r="F242" s="358">
        <f t="shared" si="14"/>
        <v>0</v>
      </c>
      <c r="G242" s="449">
        <f t="shared" si="15"/>
        <v>0</v>
      </c>
      <c r="H242" s="392">
        <f>'Shared-2013'!H117</f>
        <v>0</v>
      </c>
      <c r="I242" s="406">
        <v>0.11</v>
      </c>
      <c r="J242" s="391">
        <f>'Shared-2013'!D117</f>
        <v>0.15</v>
      </c>
      <c r="K242" s="449">
        <f t="shared" si="16"/>
        <v>0</v>
      </c>
      <c r="L242" s="356" t="s">
        <v>521</v>
      </c>
      <c r="M242" s="514" t="s">
        <v>521</v>
      </c>
      <c r="N242" s="392">
        <f>SUM('Shared-2013'!D103)</f>
        <v>0</v>
      </c>
      <c r="O242" s="304" t="s">
        <v>89</v>
      </c>
      <c r="Q242" s="217" t="s">
        <v>866</v>
      </c>
      <c r="R242" s="222">
        <v>0.5</v>
      </c>
      <c r="S242" s="223">
        <v>0.25</v>
      </c>
      <c r="T242" s="223">
        <v>1</v>
      </c>
      <c r="U242" s="224">
        <f>T243</f>
        <v>0.25</v>
      </c>
      <c r="V242" s="224">
        <f>T244</f>
        <v>0.25</v>
      </c>
      <c r="W242" s="224">
        <f>T245</f>
        <v>0.25</v>
      </c>
      <c r="X242" s="220">
        <f>T246</f>
        <v>0.25</v>
      </c>
      <c r="Y242" s="220">
        <f>T247</f>
        <v>0.5</v>
      </c>
      <c r="Z242" s="220">
        <f>T248</f>
        <v>0.5</v>
      </c>
      <c r="AA242" s="220">
        <f>T249</f>
        <v>0.25</v>
      </c>
      <c r="AB242" s="220">
        <f>T250</f>
        <v>0.5</v>
      </c>
      <c r="AC242" s="220">
        <f>T251</f>
        <v>0.25</v>
      </c>
    </row>
    <row r="243" spans="2:29" ht="15.75" thickBot="1" x14ac:dyDescent="0.3">
      <c r="B243" s="59">
        <v>4</v>
      </c>
      <c r="C243" s="680" t="s">
        <v>858</v>
      </c>
      <c r="D243" s="449">
        <f t="shared" si="13"/>
        <v>0</v>
      </c>
      <c r="E243" s="155" t="s">
        <v>89</v>
      </c>
      <c r="F243" s="358">
        <f t="shared" si="14"/>
        <v>0</v>
      </c>
      <c r="G243" s="449">
        <f t="shared" si="15"/>
        <v>0</v>
      </c>
      <c r="H243" s="392">
        <f>'Shared-2013'!H118</f>
        <v>0</v>
      </c>
      <c r="I243" s="406">
        <v>0.1</v>
      </c>
      <c r="J243" s="391">
        <f>'Shared-2013'!D118</f>
        <v>0.08</v>
      </c>
      <c r="K243" s="449">
        <f t="shared" si="16"/>
        <v>0</v>
      </c>
      <c r="L243" s="356" t="s">
        <v>521</v>
      </c>
      <c r="M243" s="514" t="s">
        <v>521</v>
      </c>
      <c r="N243" s="392">
        <f>SUM('Shared-2013'!D104)</f>
        <v>0</v>
      </c>
      <c r="O243" s="304" t="s">
        <v>89</v>
      </c>
      <c r="Q243" s="217" t="s">
        <v>867</v>
      </c>
      <c r="R243" s="222">
        <v>0.25</v>
      </c>
      <c r="S243" s="223">
        <v>0.25</v>
      </c>
      <c r="T243" s="223">
        <v>0.25</v>
      </c>
      <c r="U243" s="223">
        <v>1</v>
      </c>
      <c r="V243" s="224">
        <f>U244</f>
        <v>0.25</v>
      </c>
      <c r="W243" s="224">
        <f>U245</f>
        <v>0.25</v>
      </c>
      <c r="X243" s="220">
        <f>U246</f>
        <v>0.25</v>
      </c>
      <c r="Y243" s="220">
        <f>U247</f>
        <v>0.5</v>
      </c>
      <c r="Z243" s="220">
        <f>U248</f>
        <v>0.5</v>
      </c>
      <c r="AA243" s="220">
        <f>U249</f>
        <v>0.25</v>
      </c>
      <c r="AB243" s="220">
        <f>U250</f>
        <v>0.5</v>
      </c>
      <c r="AC243" s="220">
        <f>U251</f>
        <v>0.5</v>
      </c>
    </row>
    <row r="244" spans="2:29" ht="15.75" thickBot="1" x14ac:dyDescent="0.3">
      <c r="B244" s="59">
        <v>5</v>
      </c>
      <c r="C244" s="680" t="s">
        <v>859</v>
      </c>
      <c r="D244" s="449">
        <f t="shared" si="13"/>
        <v>0</v>
      </c>
      <c r="E244" s="155" t="s">
        <v>89</v>
      </c>
      <c r="F244" s="358">
        <f t="shared" si="14"/>
        <v>0</v>
      </c>
      <c r="G244" s="449">
        <f t="shared" si="15"/>
        <v>0</v>
      </c>
      <c r="H244" s="392">
        <f>'Shared-2013'!H119</f>
        <v>0</v>
      </c>
      <c r="I244" s="406">
        <v>0.11</v>
      </c>
      <c r="J244" s="391">
        <f>'Shared-2013'!D119</f>
        <v>0.14000000000000001</v>
      </c>
      <c r="K244" s="449">
        <f t="shared" si="16"/>
        <v>0</v>
      </c>
      <c r="L244" s="356" t="s">
        <v>521</v>
      </c>
      <c r="M244" s="514" t="s">
        <v>521</v>
      </c>
      <c r="N244" s="392">
        <f>SUM('Shared-2013'!D105)</f>
        <v>0</v>
      </c>
      <c r="O244" s="304" t="s">
        <v>89</v>
      </c>
      <c r="Q244" s="217" t="s">
        <v>868</v>
      </c>
      <c r="R244" s="222">
        <v>0.5</v>
      </c>
      <c r="S244" s="223">
        <v>0.25</v>
      </c>
      <c r="T244" s="223">
        <v>0.25</v>
      </c>
      <c r="U244" s="223">
        <v>0.25</v>
      </c>
      <c r="V244" s="223">
        <v>1</v>
      </c>
      <c r="W244" s="224">
        <f>V245</f>
        <v>0.5</v>
      </c>
      <c r="X244" s="220">
        <f>V246</f>
        <v>0.5</v>
      </c>
      <c r="Y244" s="220">
        <f>V247</f>
        <v>0.25</v>
      </c>
      <c r="Z244" s="220">
        <f>V248</f>
        <v>0.5</v>
      </c>
      <c r="AA244" s="220">
        <f>V249</f>
        <v>0.5</v>
      </c>
      <c r="AB244" s="220">
        <f>V250</f>
        <v>0.25</v>
      </c>
      <c r="AC244" s="220">
        <f>V251</f>
        <v>0.25</v>
      </c>
    </row>
    <row r="245" spans="2:29" ht="15.75" thickBot="1" x14ac:dyDescent="0.3">
      <c r="B245" s="59">
        <v>6</v>
      </c>
      <c r="C245" s="680" t="s">
        <v>860</v>
      </c>
      <c r="D245" s="449">
        <f t="shared" si="13"/>
        <v>0</v>
      </c>
      <c r="E245" s="155" t="s">
        <v>89</v>
      </c>
      <c r="F245" s="358">
        <f t="shared" si="14"/>
        <v>0</v>
      </c>
      <c r="G245" s="449">
        <f t="shared" si="15"/>
        <v>0</v>
      </c>
      <c r="H245" s="392">
        <f>'Shared-2013'!H120</f>
        <v>0</v>
      </c>
      <c r="I245" s="406">
        <v>0.19</v>
      </c>
      <c r="J245" s="391">
        <f>'Shared-2013'!D120</f>
        <v>0.12</v>
      </c>
      <c r="K245" s="449">
        <f t="shared" si="16"/>
        <v>0</v>
      </c>
      <c r="L245" s="403">
        <v>1</v>
      </c>
      <c r="M245" s="514" t="s">
        <v>521</v>
      </c>
      <c r="N245" s="392">
        <f>SUM('Shared-2013'!D106)</f>
        <v>0</v>
      </c>
      <c r="O245" s="304" t="s">
        <v>89</v>
      </c>
      <c r="Q245" s="217" t="s">
        <v>869</v>
      </c>
      <c r="R245" s="222">
        <v>0.25</v>
      </c>
      <c r="S245" s="223">
        <v>0.25</v>
      </c>
      <c r="T245" s="223">
        <v>0.25</v>
      </c>
      <c r="U245" s="223">
        <v>0.25</v>
      </c>
      <c r="V245" s="223">
        <v>0.5</v>
      </c>
      <c r="W245" s="223">
        <v>1</v>
      </c>
      <c r="X245" s="220">
        <f>W246</f>
        <v>0.5</v>
      </c>
      <c r="Y245" s="220">
        <f>W247</f>
        <v>0.25</v>
      </c>
      <c r="Z245" s="220">
        <f>W248</f>
        <v>0.5</v>
      </c>
      <c r="AA245" s="220">
        <f>W249</f>
        <v>0.5</v>
      </c>
      <c r="AB245" s="220">
        <f>W250</f>
        <v>0.25</v>
      </c>
      <c r="AC245" s="220">
        <f>W251</f>
        <v>0.25</v>
      </c>
    </row>
    <row r="246" spans="2:29" ht="15.75" thickBot="1" x14ac:dyDescent="0.3">
      <c r="B246" s="59">
        <v>7</v>
      </c>
      <c r="C246" s="680" t="s">
        <v>861</v>
      </c>
      <c r="D246" s="449">
        <f t="shared" si="13"/>
        <v>0</v>
      </c>
      <c r="E246" s="155" t="s">
        <v>89</v>
      </c>
      <c r="F246" s="358">
        <f t="shared" si="14"/>
        <v>0</v>
      </c>
      <c r="G246" s="449">
        <f t="shared" si="15"/>
        <v>0</v>
      </c>
      <c r="H246" s="392">
        <f>'Shared-2013'!H121</f>
        <v>0</v>
      </c>
      <c r="I246" s="406">
        <v>0.12</v>
      </c>
      <c r="J246" s="391">
        <f>'Shared-2013'!D121</f>
        <v>7.0000000000000007E-2</v>
      </c>
      <c r="K246" s="449">
        <f t="shared" si="16"/>
        <v>0</v>
      </c>
      <c r="L246" s="514" t="s">
        <v>521</v>
      </c>
      <c r="M246" s="514" t="s">
        <v>521</v>
      </c>
      <c r="N246" s="392">
        <f>SUM('Shared-2013'!D107)</f>
        <v>0</v>
      </c>
      <c r="O246" s="304" t="s">
        <v>89</v>
      </c>
      <c r="Q246" s="217" t="s">
        <v>870</v>
      </c>
      <c r="R246" s="222">
        <v>0.5</v>
      </c>
      <c r="S246" s="223">
        <v>0.5</v>
      </c>
      <c r="T246" s="223">
        <v>0.25</v>
      </c>
      <c r="U246" s="223">
        <v>0.25</v>
      </c>
      <c r="V246" s="223">
        <v>0.5</v>
      </c>
      <c r="W246" s="223">
        <v>0.5</v>
      </c>
      <c r="X246" s="223">
        <v>1</v>
      </c>
      <c r="Y246" s="220">
        <f>X247</f>
        <v>0.25</v>
      </c>
      <c r="Z246" s="220">
        <f>X248</f>
        <v>0.5</v>
      </c>
      <c r="AA246" s="220">
        <f>X249</f>
        <v>0.5</v>
      </c>
      <c r="AB246" s="220">
        <f>X250</f>
        <v>0.25</v>
      </c>
      <c r="AC246" s="220">
        <f>X251</f>
        <v>0.25</v>
      </c>
    </row>
    <row r="247" spans="2:29" ht="15.75" thickBot="1" x14ac:dyDescent="0.3">
      <c r="B247" s="59">
        <v>8</v>
      </c>
      <c r="C247" s="680" t="s">
        <v>862</v>
      </c>
      <c r="D247" s="449">
        <f t="shared" si="13"/>
        <v>0</v>
      </c>
      <c r="E247" s="155" t="s">
        <v>89</v>
      </c>
      <c r="F247" s="358">
        <f t="shared" si="14"/>
        <v>0</v>
      </c>
      <c r="G247" s="449">
        <f t="shared" si="15"/>
        <v>0</v>
      </c>
      <c r="H247" s="392">
        <f>'Shared-2013'!H122</f>
        <v>0</v>
      </c>
      <c r="I247" s="406">
        <v>0.2</v>
      </c>
      <c r="J247" s="391">
        <f>'Shared-2013'!D122</f>
        <v>0.09</v>
      </c>
      <c r="K247" s="449">
        <f t="shared" si="16"/>
        <v>0</v>
      </c>
      <c r="L247" s="514" t="s">
        <v>521</v>
      </c>
      <c r="M247" s="514" t="s">
        <v>521</v>
      </c>
      <c r="N247" s="392">
        <f>SUM('Shared-2013'!D108)</f>
        <v>0</v>
      </c>
      <c r="O247" s="304" t="s">
        <v>89</v>
      </c>
      <c r="Q247" s="217" t="s">
        <v>871</v>
      </c>
      <c r="R247" s="222">
        <v>0.25</v>
      </c>
      <c r="S247" s="223">
        <v>0.5</v>
      </c>
      <c r="T247" s="223">
        <v>0.5</v>
      </c>
      <c r="U247" s="223">
        <v>0.5</v>
      </c>
      <c r="V247" s="223">
        <v>0.25</v>
      </c>
      <c r="W247" s="223">
        <v>0.25</v>
      </c>
      <c r="X247" s="223">
        <v>0.25</v>
      </c>
      <c r="Y247" s="223">
        <v>1</v>
      </c>
      <c r="Z247" s="220">
        <f>Y248</f>
        <v>0.5</v>
      </c>
      <c r="AA247" s="220">
        <f>Y249</f>
        <v>0.25</v>
      </c>
      <c r="AB247" s="220">
        <f>Y250</f>
        <v>0.25</v>
      </c>
      <c r="AC247" s="220">
        <f>Y251</f>
        <v>0.5</v>
      </c>
    </row>
    <row r="248" spans="2:29" ht="15.75" thickBot="1" x14ac:dyDescent="0.3">
      <c r="B248" s="59">
        <v>9</v>
      </c>
      <c r="C248" s="680" t="s">
        <v>863</v>
      </c>
      <c r="D248" s="449">
        <f t="shared" si="13"/>
        <v>0</v>
      </c>
      <c r="E248" s="155" t="s">
        <v>89</v>
      </c>
      <c r="F248" s="358">
        <f t="shared" si="14"/>
        <v>0</v>
      </c>
      <c r="G248" s="449">
        <f t="shared" si="15"/>
        <v>0</v>
      </c>
      <c r="H248" s="392">
        <f>'Shared-2013'!H123</f>
        <v>0</v>
      </c>
      <c r="I248" s="406">
        <v>0.2</v>
      </c>
      <c r="J248" s="391">
        <f>'Shared-2013'!D123</f>
        <v>0.13</v>
      </c>
      <c r="K248" s="449">
        <f t="shared" si="16"/>
        <v>0</v>
      </c>
      <c r="L248" s="514" t="s">
        <v>521</v>
      </c>
      <c r="M248" s="514" t="s">
        <v>521</v>
      </c>
      <c r="N248" s="392">
        <f>SUM('Shared-2013'!D109)</f>
        <v>0</v>
      </c>
      <c r="O248" s="304" t="s">
        <v>89</v>
      </c>
      <c r="Q248" s="217" t="s">
        <v>872</v>
      </c>
      <c r="R248" s="222">
        <v>0.5</v>
      </c>
      <c r="S248" s="223">
        <v>0.5</v>
      </c>
      <c r="T248" s="223">
        <v>0.5</v>
      </c>
      <c r="U248" s="223">
        <v>0.5</v>
      </c>
      <c r="V248" s="223">
        <v>0.5</v>
      </c>
      <c r="W248" s="223">
        <v>0.5</v>
      </c>
      <c r="X248" s="223">
        <v>0.5</v>
      </c>
      <c r="Y248" s="223">
        <v>0.5</v>
      </c>
      <c r="Z248" s="223">
        <v>1</v>
      </c>
      <c r="AA248" s="220">
        <f>Z249</f>
        <v>0.25</v>
      </c>
      <c r="AB248" s="220">
        <f>Z250</f>
        <v>0.5</v>
      </c>
      <c r="AC248" s="220">
        <f>Z251</f>
        <v>0.25</v>
      </c>
    </row>
    <row r="249" spans="2:29" ht="15.75" thickBot="1" x14ac:dyDescent="0.3">
      <c r="B249" s="59">
        <v>10</v>
      </c>
      <c r="C249" s="680" t="s">
        <v>1006</v>
      </c>
      <c r="D249" s="449">
        <f t="shared" si="13"/>
        <v>0</v>
      </c>
      <c r="E249" s="155" t="s">
        <v>89</v>
      </c>
      <c r="F249" s="358">
        <f t="shared" si="14"/>
        <v>0</v>
      </c>
      <c r="G249" s="449">
        <f t="shared" si="15"/>
        <v>0</v>
      </c>
      <c r="H249" s="392">
        <f>'Shared-2013'!H124</f>
        <v>0</v>
      </c>
      <c r="I249" s="406">
        <v>0.2</v>
      </c>
      <c r="J249" s="391">
        <f>'Shared-2013'!D124</f>
        <v>0.17</v>
      </c>
      <c r="K249" s="449">
        <f t="shared" si="16"/>
        <v>0</v>
      </c>
      <c r="L249" s="403">
        <v>1</v>
      </c>
      <c r="M249" s="514" t="s">
        <v>521</v>
      </c>
      <c r="N249" s="392">
        <f>SUM('Shared-2013'!D110)</f>
        <v>0</v>
      </c>
      <c r="O249" s="304" t="s">
        <v>89</v>
      </c>
      <c r="Q249" s="217" t="s">
        <v>1009</v>
      </c>
      <c r="R249" s="222">
        <v>0.25</v>
      </c>
      <c r="S249" s="223">
        <v>0.25</v>
      </c>
      <c r="T249" s="223">
        <v>0.25</v>
      </c>
      <c r="U249" s="223">
        <v>0.25</v>
      </c>
      <c r="V249" s="223">
        <v>0.5</v>
      </c>
      <c r="W249" s="223">
        <v>0.5</v>
      </c>
      <c r="X249" s="223">
        <v>0.5</v>
      </c>
      <c r="Y249" s="223">
        <v>0.25</v>
      </c>
      <c r="Z249" s="223">
        <v>0.25</v>
      </c>
      <c r="AA249" s="223">
        <v>1</v>
      </c>
      <c r="AB249" s="220">
        <f>AA250</f>
        <v>0.25</v>
      </c>
      <c r="AC249" s="220">
        <f>AA251</f>
        <v>0.25</v>
      </c>
    </row>
    <row r="250" spans="2:29" ht="15.75" thickBot="1" x14ac:dyDescent="0.3">
      <c r="B250" s="59">
        <v>11</v>
      </c>
      <c r="C250" s="680" t="s">
        <v>1007</v>
      </c>
      <c r="D250" s="449">
        <f t="shared" si="13"/>
        <v>0</v>
      </c>
      <c r="E250" s="155" t="s">
        <v>89</v>
      </c>
      <c r="F250" s="358">
        <f t="shared" si="14"/>
        <v>0</v>
      </c>
      <c r="G250" s="449">
        <f t="shared" si="15"/>
        <v>0</v>
      </c>
      <c r="H250" s="392">
        <f>'Shared-2013'!H125</f>
        <v>0</v>
      </c>
      <c r="I250" s="406">
        <v>0.2</v>
      </c>
      <c r="J250" s="391">
        <f>'Shared-2013'!D125</f>
        <v>0.17</v>
      </c>
      <c r="K250" s="449">
        <f t="shared" si="16"/>
        <v>0</v>
      </c>
      <c r="L250" s="403">
        <v>1</v>
      </c>
      <c r="M250" s="514" t="s">
        <v>521</v>
      </c>
      <c r="N250" s="392">
        <f>SUM('Shared-2013'!D111)</f>
        <v>0</v>
      </c>
      <c r="O250" s="304" t="s">
        <v>89</v>
      </c>
      <c r="Q250" s="217" t="s">
        <v>1010</v>
      </c>
      <c r="R250" s="222">
        <v>0.25</v>
      </c>
      <c r="S250" s="223">
        <v>0.25</v>
      </c>
      <c r="T250" s="223">
        <v>0.5</v>
      </c>
      <c r="U250" s="223">
        <v>0.5</v>
      </c>
      <c r="V250" s="223">
        <v>0.25</v>
      </c>
      <c r="W250" s="223">
        <v>0.25</v>
      </c>
      <c r="X250" s="223">
        <v>0.25</v>
      </c>
      <c r="Y250" s="223">
        <v>0.25</v>
      </c>
      <c r="Z250" s="223">
        <v>0.5</v>
      </c>
      <c r="AA250" s="223">
        <v>0.25</v>
      </c>
      <c r="AB250" s="223">
        <v>1</v>
      </c>
      <c r="AC250" s="220">
        <f>AB251</f>
        <v>0.25</v>
      </c>
    </row>
    <row r="251" spans="2:29" ht="15.75" thickBot="1" x14ac:dyDescent="0.3">
      <c r="B251" s="59">
        <v>12</v>
      </c>
      <c r="C251" s="681" t="s">
        <v>1005</v>
      </c>
      <c r="D251" s="441">
        <f t="shared" si="13"/>
        <v>0</v>
      </c>
      <c r="E251" s="161" t="s">
        <v>89</v>
      </c>
      <c r="F251" s="359">
        <f t="shared" si="14"/>
        <v>0</v>
      </c>
      <c r="G251" s="441">
        <f t="shared" si="15"/>
        <v>0</v>
      </c>
      <c r="H251" s="394">
        <f>'Shared-2013'!H126</f>
        <v>0</v>
      </c>
      <c r="I251" s="407">
        <v>0.2</v>
      </c>
      <c r="J251" s="393">
        <f>'Shared-2013'!D126</f>
        <v>0.17</v>
      </c>
      <c r="K251" s="441">
        <f t="shared" si="16"/>
        <v>0</v>
      </c>
      <c r="L251" s="404">
        <v>1</v>
      </c>
      <c r="M251" s="519" t="s">
        <v>521</v>
      </c>
      <c r="N251" s="394">
        <f>SUM('Shared-2013'!D112)</f>
        <v>0</v>
      </c>
      <c r="O251" s="304" t="s">
        <v>89</v>
      </c>
      <c r="Q251" s="217" t="s">
        <v>1011</v>
      </c>
      <c r="R251" s="222">
        <v>0.25</v>
      </c>
      <c r="S251" s="223">
        <v>0.25</v>
      </c>
      <c r="T251" s="223">
        <v>0.25</v>
      </c>
      <c r="U251" s="223">
        <v>0.5</v>
      </c>
      <c r="V251" s="223">
        <v>0.25</v>
      </c>
      <c r="W251" s="223">
        <v>0.25</v>
      </c>
      <c r="X251" s="223">
        <v>0.25</v>
      </c>
      <c r="Y251" s="223">
        <v>0.5</v>
      </c>
      <c r="Z251" s="223">
        <v>0.25</v>
      </c>
      <c r="AA251" s="223">
        <v>0.25</v>
      </c>
      <c r="AB251" s="223">
        <v>0.25</v>
      </c>
      <c r="AC251" s="223">
        <v>1</v>
      </c>
    </row>
    <row r="252" spans="2:29" x14ac:dyDescent="0.25">
      <c r="C252" s="4"/>
      <c r="D252" s="4"/>
      <c r="E252" s="4"/>
      <c r="F252" s="4"/>
      <c r="O252" s="304" t="s">
        <v>89</v>
      </c>
    </row>
    <row r="253" spans="2:29" x14ac:dyDescent="0.25">
      <c r="C253" s="4"/>
      <c r="D253" s="4"/>
      <c r="E253" s="4"/>
      <c r="F253" s="782" t="s">
        <v>735</v>
      </c>
      <c r="G253" s="691"/>
      <c r="H253" s="782" t="s">
        <v>999</v>
      </c>
      <c r="I253" s="691"/>
      <c r="O253" s="304" t="s">
        <v>89</v>
      </c>
    </row>
    <row r="254" spans="2:29" x14ac:dyDescent="0.25">
      <c r="C254" s="4"/>
      <c r="D254" s="4"/>
      <c r="E254" s="4"/>
      <c r="F254" s="695" t="s">
        <v>0</v>
      </c>
      <c r="G254" s="695" t="s">
        <v>20</v>
      </c>
      <c r="H254" s="789" t="s">
        <v>0</v>
      </c>
      <c r="I254" s="695" t="s">
        <v>20</v>
      </c>
      <c r="O254" s="304" t="s">
        <v>89</v>
      </c>
    </row>
    <row r="255" spans="2:29" x14ac:dyDescent="0.25">
      <c r="C255" s="798" t="s">
        <v>1024</v>
      </c>
      <c r="D255" s="448">
        <f>IF(AND(F255&lt;&gt;"-",G255&lt;&gt;"-",H255&lt;&gt;"-",I255&lt;&gt;"-"),MAX((SUM(F255)-SUM(G255))-(SUM(H255)-SUM(I255)),0),0)</f>
        <v>0</v>
      </c>
      <c r="E255" s="206" t="s">
        <v>89</v>
      </c>
      <c r="F255" s="933" t="s">
        <v>521</v>
      </c>
      <c r="G255" s="935" t="s">
        <v>521</v>
      </c>
      <c r="H255" s="516" t="str">
        <f>F255</f>
        <v>-</v>
      </c>
      <c r="I255" s="517" t="s">
        <v>521</v>
      </c>
      <c r="O255" s="304" t="s">
        <v>89</v>
      </c>
    </row>
    <row r="256" spans="2:29" x14ac:dyDescent="0.25">
      <c r="C256" s="4"/>
      <c r="D256" s="4"/>
      <c r="E256" s="4"/>
      <c r="F256" s="4"/>
      <c r="O256" s="304" t="s">
        <v>89</v>
      </c>
    </row>
    <row r="257" spans="1:16" x14ac:dyDescent="0.25">
      <c r="C257" s="4"/>
      <c r="D257" s="4"/>
      <c r="E257" s="4"/>
      <c r="F257" s="4"/>
      <c r="O257" s="304" t="s">
        <v>89</v>
      </c>
    </row>
    <row r="258" spans="1:16" x14ac:dyDescent="0.25">
      <c r="C258" s="4"/>
      <c r="D258" s="4"/>
      <c r="E258" s="4"/>
      <c r="F258" s="4"/>
      <c r="O258" s="304" t="s">
        <v>89</v>
      </c>
    </row>
    <row r="259" spans="1:16" x14ac:dyDescent="0.25">
      <c r="C259" s="1043" t="s">
        <v>1048</v>
      </c>
      <c r="D259" s="1111" t="str">
        <f>$D$63</f>
        <v>Illeszkedési kiigazítás</v>
      </c>
      <c r="E259" s="4"/>
      <c r="F259" s="4"/>
      <c r="O259" s="304" t="s">
        <v>89</v>
      </c>
    </row>
    <row r="260" spans="1:16" x14ac:dyDescent="0.25">
      <c r="C260" s="1045"/>
      <c r="D260" s="1112"/>
      <c r="E260" s="4"/>
      <c r="F260" s="4"/>
      <c r="O260" s="304" t="s">
        <v>89</v>
      </c>
    </row>
    <row r="261" spans="1:16" x14ac:dyDescent="0.25">
      <c r="A261" s="32"/>
      <c r="B261" s="32"/>
      <c r="C261" s="11"/>
      <c r="D261" s="11"/>
      <c r="E261" s="11"/>
      <c r="F261" s="11"/>
      <c r="G261" s="11"/>
      <c r="H261" s="12"/>
      <c r="I261" s="12"/>
      <c r="K261" s="10"/>
      <c r="L261" s="10"/>
      <c r="N261" s="10"/>
      <c r="O261" s="304" t="s">
        <v>89</v>
      </c>
      <c r="P261" s="402"/>
    </row>
    <row r="262" spans="1:16" x14ac:dyDescent="0.25">
      <c r="A262" s="32"/>
      <c r="B262" s="32"/>
      <c r="C262" s="165" t="s">
        <v>84</v>
      </c>
      <c r="D262" s="212"/>
      <c r="E262" s="11"/>
      <c r="F262" s="11"/>
      <c r="G262" s="11"/>
      <c r="H262" s="12"/>
      <c r="K262" s="32"/>
      <c r="L262" s="32"/>
      <c r="O262" s="304" t="s">
        <v>89</v>
      </c>
    </row>
    <row r="263" spans="1:16" x14ac:dyDescent="0.25">
      <c r="A263" s="7"/>
      <c r="B263" s="7"/>
      <c r="C263" s="799" t="s">
        <v>1036</v>
      </c>
      <c r="D263" s="363">
        <f>IF(_IsComposite,SUM(H273),SUM(F273))</f>
        <v>0</v>
      </c>
      <c r="E263" s="11"/>
      <c r="F263" s="11"/>
      <c r="G263" s="11"/>
      <c r="L263" s="32"/>
      <c r="O263" s="304" t="s">
        <v>89</v>
      </c>
    </row>
    <row r="264" spans="1:16" x14ac:dyDescent="0.25">
      <c r="A264" s="7"/>
      <c r="B264" s="7"/>
      <c r="C264" s="799" t="s">
        <v>1035</v>
      </c>
      <c r="D264" s="363">
        <f>IF(_IsComposite,SUM(H274),SUM(F274))</f>
        <v>0</v>
      </c>
      <c r="E264" s="11"/>
      <c r="F264" s="11"/>
      <c r="G264" s="11"/>
      <c r="L264" s="32"/>
      <c r="O264" s="304" t="s">
        <v>89</v>
      </c>
    </row>
    <row r="265" spans="1:16" x14ac:dyDescent="0.25">
      <c r="D265" s="8"/>
      <c r="E265" s="8"/>
      <c r="G265" s="8"/>
      <c r="H265" s="95"/>
      <c r="I265" s="95"/>
      <c r="O265" s="304" t="s">
        <v>89</v>
      </c>
    </row>
    <row r="266" spans="1:16" ht="22.5" x14ac:dyDescent="0.25">
      <c r="B266" s="238"/>
      <c r="C266" s="800" t="s">
        <v>1027</v>
      </c>
      <c r="D266" s="801"/>
      <c r="E266" s="801"/>
      <c r="F266" s="265" t="s">
        <v>516</v>
      </c>
      <c r="G266" s="265" t="s">
        <v>504</v>
      </c>
      <c r="H266" s="266" t="s">
        <v>656</v>
      </c>
      <c r="I266" s="265" t="s">
        <v>739</v>
      </c>
      <c r="J266" s="265" t="s">
        <v>740</v>
      </c>
      <c r="K266" s="32"/>
      <c r="L266" s="32"/>
      <c r="M266" s="32"/>
      <c r="N266" s="32"/>
      <c r="O266" s="304" t="s">
        <v>89</v>
      </c>
    </row>
    <row r="267" spans="1:16" x14ac:dyDescent="0.25">
      <c r="A267" s="7"/>
      <c r="B267" s="7"/>
      <c r="C267" s="802" t="s">
        <v>1026</v>
      </c>
      <c r="D267" s="803"/>
      <c r="E267" s="803"/>
      <c r="F267" s="364">
        <f>IF(_IsComposite,"-",SUMPRODUCT($R$278:$R$293,(H$278:H$293&gt;0)*1,H$278:H$293)+SUMPRODUCT((I$278:I$293&gt;0)*1,I$278:I$293,'1. Illeszkedési kiigazítás'!$S$278:$S$293))</f>
        <v>0</v>
      </c>
      <c r="G267" s="364">
        <f>IF(_IsComposite,"-",SUMPRODUCT((H$297:H$300&gt;0)*1,H$297:H$300,$R$297:$R$300)+MAX(I$303,0)*$R$301)</f>
        <v>0</v>
      </c>
      <c r="H267" s="438"/>
      <c r="I267" s="365" t="str">
        <f>IF(_IsComposite,SUMPRODUCT($R$278:$R$293,(H$278:H$293&gt;0)*1,H$278:H$293)+SUMPRODUCT((I$278:I$293&gt;0)*1,I$278:I$293,'1. Illeszkedési kiigazítás'!$S$278:$S$293)+SUMPRODUCT((K$278:K$293&gt;0)*1,K$278:K$293,$R$278:$R$293)+SUMPRODUCT((L$278:L$293&gt;0)*1,L$278:L$293,'1. Illeszkedési kiigazítás'!$S$278:$S$293),"-")</f>
        <v>-</v>
      </c>
      <c r="J267" s="365" t="str">
        <f>IF(_IsComposite,SUMPRODUCT((H$297:H$300&gt;0)*1,H$297:H$300,$R$297:$R$300)+MAX(I$303,0)*$R$301+SUMPRODUCT((K$297:K$300&gt;0)*1,K$297:K$300,$R$297:$R$300)+MAX(L$303,0)*$R$301,"-")</f>
        <v>-</v>
      </c>
      <c r="K267" s="32"/>
      <c r="L267" s="32"/>
      <c r="M267" s="32"/>
      <c r="N267" s="32"/>
      <c r="O267" s="304" t="s">
        <v>89</v>
      </c>
    </row>
    <row r="268" spans="1:16" x14ac:dyDescent="0.25">
      <c r="A268" s="7"/>
      <c r="B268" s="7"/>
      <c r="C268" s="804" t="s">
        <v>1033</v>
      </c>
      <c r="D268" s="805"/>
      <c r="E268" s="805"/>
      <c r="F268" s="1113">
        <f>SUM(J28)</f>
        <v>0</v>
      </c>
      <c r="G268" s="1114"/>
      <c r="H268" s="415"/>
      <c r="I268" s="367" t="str">
        <f>IF(_IsComposite,SUM(F268)*IF((I$267+MAX(J$267,0))&gt;0,I$267/(I$267+MAX(J$267,0)),(I$267&lt;&gt;0)*1),"-")</f>
        <v>-</v>
      </c>
      <c r="J268" s="367" t="str">
        <f>IF(_IsComposite,SUM(F268)*IF(AND(I$267+MAX(J$267,0)&gt;0),MAX(J$267,0)/(I$267+MAX(J$267,0)),(J$267&lt;&gt;0)*1),"-")</f>
        <v>-</v>
      </c>
      <c r="K268" s="32"/>
      <c r="L268" s="32"/>
      <c r="M268" s="32"/>
      <c r="N268" s="32"/>
      <c r="O268" s="304" t="s">
        <v>89</v>
      </c>
    </row>
    <row r="269" spans="1:16" ht="17.25" customHeight="1" x14ac:dyDescent="0.25">
      <c r="A269" s="7"/>
      <c r="B269" s="238"/>
      <c r="C269" s="806" t="s">
        <v>1028</v>
      </c>
      <c r="D269" s="807"/>
      <c r="E269" s="807"/>
      <c r="F269" s="1192">
        <f>MIN(MAX(SUM(F$267,G$267),25%*SUM(F268)),45%*SUM(F268))</f>
        <v>0</v>
      </c>
      <c r="G269" s="1112"/>
      <c r="H269" s="415"/>
      <c r="I269" s="441" t="str">
        <f>IF(_IsComposite,MIN(MAX(I$267,25%*SUM(I268)),45%*SUM(I268)),"-")</f>
        <v>-</v>
      </c>
      <c r="J269" s="441" t="str">
        <f>IF(_IsComposite,MIN(MAX(J$267,25%*SUM(J268)),45%*SUM(J268)),"-")</f>
        <v>-</v>
      </c>
      <c r="K269" s="32"/>
      <c r="L269" s="32"/>
      <c r="M269" s="32"/>
      <c r="N269" s="32"/>
      <c r="O269" s="304" t="s">
        <v>89</v>
      </c>
    </row>
    <row r="270" spans="1:16" ht="17.25" customHeight="1" x14ac:dyDescent="0.25">
      <c r="A270" s="7"/>
      <c r="B270" s="238"/>
      <c r="C270" s="804" t="s">
        <v>1034</v>
      </c>
      <c r="D270" s="808"/>
      <c r="E270" s="808"/>
      <c r="F270" s="1113" t="str">
        <f>IF(J32&lt;&gt;"-",SUM(J32),"-")</f>
        <v>-</v>
      </c>
      <c r="G270" s="1114"/>
      <c r="H270" s="415"/>
      <c r="I270" s="367" t="str">
        <f>IF(_IsComposite,SUM(F270)*IF((I$267+MAX(J$267,0))&gt;0,I$267/(I$267+MAX(J$267,0)),(I$267&lt;&gt;0)*1),"-")</f>
        <v>-</v>
      </c>
      <c r="J270" s="367" t="str">
        <f>IF(_IsComposite,SUM(F270)*IF(AND(I$267+MAX(J$267,0)&gt;0),MAX(J$267,0)/(I$267+MAX(J$267,0)),(J$267&lt;&gt;0)*1),"-")</f>
        <v>-</v>
      </c>
      <c r="K270" s="32"/>
      <c r="L270" s="32"/>
      <c r="M270" s="32"/>
      <c r="N270" s="32"/>
      <c r="O270" s="304" t="s">
        <v>89</v>
      </c>
    </row>
    <row r="271" spans="1:16" ht="17.25" customHeight="1" x14ac:dyDescent="0.25">
      <c r="A271" s="7"/>
      <c r="B271" s="238"/>
      <c r="C271" s="806" t="s">
        <v>1029</v>
      </c>
      <c r="D271" s="807"/>
      <c r="E271" s="807"/>
      <c r="F271" s="1192">
        <f>MIN(MAX(SUM(F$267,G$267),25%*SUM(F270)),45%*SUM(F270))</f>
        <v>0</v>
      </c>
      <c r="G271" s="1193">
        <f>MIN(MAX(G$267,25%*G270),45%*G270)</f>
        <v>0</v>
      </c>
      <c r="H271" s="415"/>
      <c r="I271" s="441" t="str">
        <f>IF(_IsComposite,MIN(MAX(I$267,25%*SUM(I270)),45%*SUM(I270)),"-")</f>
        <v>-</v>
      </c>
      <c r="J271" s="441" t="str">
        <f>IF(_IsComposite,MIN(MAX(J$267,25%*SUM(J270)),45%*SUM(J270)),"-")</f>
        <v>-</v>
      </c>
      <c r="K271" s="32"/>
      <c r="L271" s="32"/>
      <c r="M271" s="32"/>
      <c r="N271" s="32"/>
      <c r="O271" s="304" t="s">
        <v>89</v>
      </c>
    </row>
    <row r="272" spans="1:16" ht="15" customHeight="1" x14ac:dyDescent="0.25">
      <c r="A272" s="7"/>
      <c r="B272" s="238"/>
      <c r="C272" s="809" t="s">
        <v>1030</v>
      </c>
      <c r="D272" s="810"/>
      <c r="E272" s="810"/>
      <c r="F272" s="1117" t="s">
        <v>521</v>
      </c>
      <c r="G272" s="1118"/>
      <c r="H272" s="439"/>
      <c r="I272" s="366" t="s">
        <v>521</v>
      </c>
      <c r="J272" s="366" t="s">
        <v>521</v>
      </c>
      <c r="K272" s="32"/>
      <c r="L272" s="32"/>
      <c r="M272" s="32"/>
      <c r="N272" s="32"/>
      <c r="O272" s="304" t="s">
        <v>89</v>
      </c>
    </row>
    <row r="273" spans="1:19" ht="15" customHeight="1" x14ac:dyDescent="0.25">
      <c r="A273" s="7"/>
      <c r="B273" s="238"/>
      <c r="C273" s="806" t="s">
        <v>1031</v>
      </c>
      <c r="D273" s="807"/>
      <c r="E273" s="807"/>
      <c r="F273" s="1160">
        <f>IF(_IsComposite,"-",MAX(F$272,F$269))</f>
        <v>0</v>
      </c>
      <c r="G273" s="1194"/>
      <c r="H273" s="451" t="str">
        <f>IF(_IsComposite,SUM(I273:J273),"-")</f>
        <v>-</v>
      </c>
      <c r="I273" s="451" t="str">
        <f>IF(_IsComposite,MAX(I$272,I$269),"-")</f>
        <v>-</v>
      </c>
      <c r="J273" s="451" t="str">
        <f>IF(_IsComposite,MAX(J$272,J$269),"-")</f>
        <v>-</v>
      </c>
      <c r="K273" s="32"/>
      <c r="L273" s="32"/>
      <c r="M273" s="32"/>
      <c r="N273" s="32"/>
      <c r="O273" s="304" t="s">
        <v>89</v>
      </c>
    </row>
    <row r="274" spans="1:19" ht="15" customHeight="1" x14ac:dyDescent="0.25">
      <c r="A274" s="7"/>
      <c r="B274" s="238"/>
      <c r="C274" s="806" t="s">
        <v>1032</v>
      </c>
      <c r="D274" s="807"/>
      <c r="E274" s="807"/>
      <c r="F274" s="1160">
        <f>IF(_IsComposite,"-",MAX(F$272,F$271))</f>
        <v>0</v>
      </c>
      <c r="G274" s="1194"/>
      <c r="H274" s="451" t="str">
        <f>IF(_IsComposite,SUM(I274:J274),"-")</f>
        <v>-</v>
      </c>
      <c r="I274" s="451" t="str">
        <f>IF(_IsComposite,MAX(I$272,I$271),"-")</f>
        <v>-</v>
      </c>
      <c r="J274" s="451" t="str">
        <f>IF(_IsComposite,MAX(J$272,J$271),"-")</f>
        <v>-</v>
      </c>
      <c r="K274" s="32"/>
      <c r="L274" s="32"/>
      <c r="M274" s="32"/>
      <c r="N274" s="32"/>
      <c r="O274" s="304" t="s">
        <v>89</v>
      </c>
    </row>
    <row r="275" spans="1:19" x14ac:dyDescent="0.25">
      <c r="D275" s="8"/>
      <c r="E275" s="8"/>
      <c r="G275" s="8"/>
      <c r="H275" s="95"/>
      <c r="I275" s="95"/>
      <c r="O275" s="304" t="s">
        <v>89</v>
      </c>
    </row>
    <row r="276" spans="1:19" x14ac:dyDescent="0.25">
      <c r="D276" s="8"/>
      <c r="E276" s="8"/>
      <c r="G276" s="8"/>
      <c r="H276" s="95"/>
      <c r="I276" s="95"/>
      <c r="K276" s="735" t="s">
        <v>1037</v>
      </c>
      <c r="L276" s="691"/>
      <c r="O276" s="304" t="s">
        <v>89</v>
      </c>
    </row>
    <row r="277" spans="1:19" ht="33.75" customHeight="1" x14ac:dyDescent="0.25">
      <c r="C277" s="811" t="s">
        <v>167</v>
      </c>
      <c r="D277" s="801"/>
      <c r="E277" s="801"/>
      <c r="F277" s="801"/>
      <c r="G277" s="812"/>
      <c r="H277" s="408" t="s">
        <v>654</v>
      </c>
      <c r="I277" s="408" t="s">
        <v>655</v>
      </c>
      <c r="K277" s="412" t="s">
        <v>1038</v>
      </c>
      <c r="L277" s="412" t="s">
        <v>655</v>
      </c>
      <c r="O277" s="304" t="s">
        <v>89</v>
      </c>
      <c r="Q277" s="257"/>
      <c r="R277" s="263" t="s">
        <v>652</v>
      </c>
      <c r="S277" s="263" t="s">
        <v>653</v>
      </c>
    </row>
    <row r="278" spans="1:19" x14ac:dyDescent="0.25">
      <c r="C278" s="686" t="s">
        <v>168</v>
      </c>
      <c r="D278" s="725"/>
      <c r="E278" s="725"/>
      <c r="F278" s="725"/>
      <c r="G278" s="687"/>
      <c r="H278" s="366" t="s">
        <v>521</v>
      </c>
      <c r="I278" s="409" t="str">
        <f>'Shared-2013'!F143</f>
        <v>-</v>
      </c>
      <c r="K278" s="366" t="s">
        <v>521</v>
      </c>
      <c r="L278" s="409" t="str">
        <f>'Shared-2013'!H143</f>
        <v>-</v>
      </c>
      <c r="O278" s="304" t="s">
        <v>89</v>
      </c>
      <c r="Q278" s="43" t="s">
        <v>168</v>
      </c>
      <c r="R278" s="395">
        <v>4.7E-2</v>
      </c>
      <c r="S278" s="395">
        <v>4.7E-2</v>
      </c>
    </row>
    <row r="279" spans="1:19" x14ac:dyDescent="0.25">
      <c r="C279" s="686" t="s">
        <v>169</v>
      </c>
      <c r="D279" s="725"/>
      <c r="E279" s="725"/>
      <c r="F279" s="725"/>
      <c r="G279" s="687"/>
      <c r="H279" s="366" t="s">
        <v>521</v>
      </c>
      <c r="I279" s="409" t="str">
        <f>'Shared-2013'!F144</f>
        <v>-</v>
      </c>
      <c r="K279" s="366" t="s">
        <v>521</v>
      </c>
      <c r="L279" s="409" t="str">
        <f>'Shared-2013'!H144</f>
        <v>-</v>
      </c>
      <c r="O279" s="304" t="s">
        <v>89</v>
      </c>
      <c r="Q279" s="44" t="s">
        <v>169</v>
      </c>
      <c r="R279" s="395">
        <v>0.13100000000000001</v>
      </c>
      <c r="S279" s="395">
        <v>8.5000000000000006E-2</v>
      </c>
    </row>
    <row r="280" spans="1:19" x14ac:dyDescent="0.25">
      <c r="C280" s="686" t="s">
        <v>170</v>
      </c>
      <c r="D280" s="725"/>
      <c r="E280" s="725"/>
      <c r="F280" s="725"/>
      <c r="G280" s="687"/>
      <c r="H280" s="366" t="s">
        <v>521</v>
      </c>
      <c r="I280" s="409" t="str">
        <f>'Shared-2013'!F145</f>
        <v>-</v>
      </c>
      <c r="K280" s="366" t="s">
        <v>521</v>
      </c>
      <c r="L280" s="409" t="str">
        <f>'Shared-2013'!H145</f>
        <v>-</v>
      </c>
      <c r="O280" s="304" t="s">
        <v>89</v>
      </c>
      <c r="Q280" s="44" t="s">
        <v>170</v>
      </c>
      <c r="R280" s="395">
        <v>0.107</v>
      </c>
      <c r="S280" s="395">
        <v>7.4999999999999997E-2</v>
      </c>
    </row>
    <row r="281" spans="1:19" x14ac:dyDescent="0.25">
      <c r="C281" s="686" t="s">
        <v>171</v>
      </c>
      <c r="D281" s="725"/>
      <c r="E281" s="725"/>
      <c r="F281" s="725"/>
      <c r="G281" s="687"/>
      <c r="H281" s="366" t="s">
        <v>521</v>
      </c>
      <c r="I281" s="409" t="str">
        <f>'Shared-2013'!F146</f>
        <v>-</v>
      </c>
      <c r="K281" s="366" t="s">
        <v>521</v>
      </c>
      <c r="L281" s="409" t="str">
        <f>'Shared-2013'!H146</f>
        <v>-</v>
      </c>
      <c r="O281" s="304" t="s">
        <v>89</v>
      </c>
      <c r="Q281" s="44" t="s">
        <v>171</v>
      </c>
      <c r="R281" s="395">
        <v>8.5000000000000006E-2</v>
      </c>
      <c r="S281" s="395">
        <v>9.4E-2</v>
      </c>
    </row>
    <row r="282" spans="1:19" x14ac:dyDescent="0.25">
      <c r="C282" s="686" t="s">
        <v>172</v>
      </c>
      <c r="D282" s="725"/>
      <c r="E282" s="725"/>
      <c r="F282" s="725"/>
      <c r="G282" s="687"/>
      <c r="H282" s="366" t="s">
        <v>521</v>
      </c>
      <c r="I282" s="409" t="str">
        <f>'Shared-2013'!F147</f>
        <v>-</v>
      </c>
      <c r="K282" s="366" t="s">
        <v>521</v>
      </c>
      <c r="L282" s="409" t="str">
        <f>'Shared-2013'!H147</f>
        <v>-</v>
      </c>
      <c r="O282" s="304" t="s">
        <v>89</v>
      </c>
      <c r="Q282" s="44" t="s">
        <v>172</v>
      </c>
      <c r="R282" s="395">
        <v>7.4999999999999997E-2</v>
      </c>
      <c r="S282" s="395">
        <v>7.4999999999999997E-2</v>
      </c>
    </row>
    <row r="283" spans="1:19" x14ac:dyDescent="0.25">
      <c r="C283" s="686" t="s">
        <v>173</v>
      </c>
      <c r="D283" s="725"/>
      <c r="E283" s="725"/>
      <c r="F283" s="725"/>
      <c r="G283" s="687"/>
      <c r="H283" s="366" t="s">
        <v>521</v>
      </c>
      <c r="I283" s="409" t="str">
        <f>'Shared-2013'!F148</f>
        <v>-</v>
      </c>
      <c r="K283" s="366" t="s">
        <v>521</v>
      </c>
      <c r="L283" s="409" t="str">
        <f>'Shared-2013'!H148</f>
        <v>-</v>
      </c>
      <c r="O283" s="304" t="s">
        <v>89</v>
      </c>
      <c r="Q283" s="44" t="s">
        <v>173</v>
      </c>
      <c r="R283" s="395">
        <v>0.10299999999999999</v>
      </c>
      <c r="S283" s="395">
        <v>0.14000000000000001</v>
      </c>
    </row>
    <row r="284" spans="1:19" x14ac:dyDescent="0.25">
      <c r="C284" s="686" t="s">
        <v>174</v>
      </c>
      <c r="D284" s="725"/>
      <c r="E284" s="725"/>
      <c r="F284" s="725"/>
      <c r="G284" s="687"/>
      <c r="H284" s="366" t="s">
        <v>521</v>
      </c>
      <c r="I284" s="409" t="str">
        <f>'Shared-2013'!F149</f>
        <v>-</v>
      </c>
      <c r="K284" s="366" t="s">
        <v>521</v>
      </c>
      <c r="L284" s="409" t="str">
        <f>'Shared-2013'!H149</f>
        <v>-</v>
      </c>
      <c r="O284" s="304" t="s">
        <v>89</v>
      </c>
      <c r="Q284" s="44" t="s">
        <v>174</v>
      </c>
      <c r="R284" s="395">
        <v>9.4E-2</v>
      </c>
      <c r="S284" s="395">
        <v>7.4999999999999997E-2</v>
      </c>
    </row>
    <row r="285" spans="1:19" x14ac:dyDescent="0.25">
      <c r="C285" s="686" t="s">
        <v>175</v>
      </c>
      <c r="D285" s="725"/>
      <c r="E285" s="725"/>
      <c r="F285" s="725"/>
      <c r="G285" s="687"/>
      <c r="H285" s="366" t="s">
        <v>521</v>
      </c>
      <c r="I285" s="409" t="str">
        <f>'Shared-2013'!F150</f>
        <v>-</v>
      </c>
      <c r="K285" s="366" t="s">
        <v>521</v>
      </c>
      <c r="L285" s="409" t="str">
        <f>'Shared-2013'!H150</f>
        <v>-</v>
      </c>
      <c r="O285" s="304" t="s">
        <v>89</v>
      </c>
      <c r="Q285" s="44" t="s">
        <v>175</v>
      </c>
      <c r="R285" s="395">
        <v>0.10299999999999999</v>
      </c>
      <c r="S285" s="395">
        <v>0.13100000000000001</v>
      </c>
    </row>
    <row r="286" spans="1:19" x14ac:dyDescent="0.25">
      <c r="C286" s="686" t="s">
        <v>176</v>
      </c>
      <c r="D286" s="725"/>
      <c r="E286" s="725"/>
      <c r="F286" s="725"/>
      <c r="G286" s="687"/>
      <c r="H286" s="366" t="s">
        <v>521</v>
      </c>
      <c r="I286" s="409" t="str">
        <f>'Shared-2013'!F151</f>
        <v>-</v>
      </c>
      <c r="K286" s="366" t="s">
        <v>521</v>
      </c>
      <c r="L286" s="409" t="str">
        <f>'Shared-2013'!H151</f>
        <v>-</v>
      </c>
      <c r="O286" s="304" t="s">
        <v>89</v>
      </c>
      <c r="Q286" s="44" t="s">
        <v>176</v>
      </c>
      <c r="R286" s="395">
        <v>0.17699999999999999</v>
      </c>
      <c r="S286" s="395">
        <v>0.113</v>
      </c>
    </row>
    <row r="287" spans="1:19" x14ac:dyDescent="0.25">
      <c r="C287" s="686" t="s">
        <v>177</v>
      </c>
      <c r="D287" s="725"/>
      <c r="E287" s="725"/>
      <c r="F287" s="725"/>
      <c r="G287" s="687"/>
      <c r="H287" s="366" t="s">
        <v>521</v>
      </c>
      <c r="I287" s="409" t="str">
        <f>'Shared-2013'!F152</f>
        <v>-</v>
      </c>
      <c r="K287" s="366" t="s">
        <v>521</v>
      </c>
      <c r="L287" s="409" t="str">
        <f>'Shared-2013'!H152</f>
        <v>-</v>
      </c>
      <c r="O287" s="304" t="s">
        <v>89</v>
      </c>
      <c r="Q287" s="44" t="s">
        <v>177</v>
      </c>
      <c r="R287" s="395">
        <v>0.113</v>
      </c>
      <c r="S287" s="395">
        <v>6.6000000000000003E-2</v>
      </c>
    </row>
    <row r="288" spans="1:19" x14ac:dyDescent="0.25">
      <c r="C288" s="686" t="s">
        <v>178</v>
      </c>
      <c r="D288" s="725"/>
      <c r="E288" s="725"/>
      <c r="F288" s="725"/>
      <c r="G288" s="687"/>
      <c r="H288" s="366" t="s">
        <v>521</v>
      </c>
      <c r="I288" s="409" t="str">
        <f>'Shared-2013'!F153</f>
        <v>-</v>
      </c>
      <c r="K288" s="366" t="s">
        <v>521</v>
      </c>
      <c r="L288" s="409" t="str">
        <f>'Shared-2013'!H153</f>
        <v>-</v>
      </c>
      <c r="O288" s="304" t="s">
        <v>89</v>
      </c>
      <c r="Q288" s="44" t="s">
        <v>178</v>
      </c>
      <c r="R288" s="395">
        <v>0.186</v>
      </c>
      <c r="S288" s="535">
        <v>8.5000000000000006E-2</v>
      </c>
    </row>
    <row r="289" spans="3:19" x14ac:dyDescent="0.25">
      <c r="C289" s="686" t="s">
        <v>179</v>
      </c>
      <c r="D289" s="725"/>
      <c r="E289" s="725"/>
      <c r="F289" s="725"/>
      <c r="G289" s="687"/>
      <c r="H289" s="366" t="s">
        <v>521</v>
      </c>
      <c r="I289" s="409" t="str">
        <f>'Shared-2013'!F154</f>
        <v>-</v>
      </c>
      <c r="K289" s="366" t="s">
        <v>521</v>
      </c>
      <c r="L289" s="409" t="str">
        <f>'Shared-2013'!H154</f>
        <v>-</v>
      </c>
      <c r="O289" s="304" t="s">
        <v>89</v>
      </c>
      <c r="Q289" s="44" t="s">
        <v>179</v>
      </c>
      <c r="R289" s="395">
        <v>0.186</v>
      </c>
      <c r="S289" s="395">
        <v>0.122</v>
      </c>
    </row>
    <row r="290" spans="3:19" x14ac:dyDescent="0.25">
      <c r="C290" s="686" t="s">
        <v>180</v>
      </c>
      <c r="D290" s="725"/>
      <c r="E290" s="725"/>
      <c r="F290" s="725"/>
      <c r="G290" s="687"/>
      <c r="H290" s="366" t="s">
        <v>521</v>
      </c>
      <c r="I290" s="409" t="str">
        <f>'Shared-2013'!F155</f>
        <v>-</v>
      </c>
      <c r="K290" s="366" t="s">
        <v>521</v>
      </c>
      <c r="L290" s="409" t="str">
        <f>'Shared-2013'!H155</f>
        <v>-</v>
      </c>
      <c r="O290" s="304" t="s">
        <v>89</v>
      </c>
      <c r="Q290" s="44" t="s">
        <v>180</v>
      </c>
      <c r="R290" s="395">
        <v>0.186</v>
      </c>
      <c r="S290" s="395">
        <v>0.159</v>
      </c>
    </row>
    <row r="291" spans="3:19" x14ac:dyDescent="0.25">
      <c r="C291" s="686" t="s">
        <v>181</v>
      </c>
      <c r="D291" s="725"/>
      <c r="E291" s="725"/>
      <c r="F291" s="725"/>
      <c r="G291" s="687"/>
      <c r="H291" s="366" t="s">
        <v>521</v>
      </c>
      <c r="I291" s="409" t="str">
        <f>'Shared-2013'!F156</f>
        <v>-</v>
      </c>
      <c r="K291" s="366" t="s">
        <v>521</v>
      </c>
      <c r="L291" s="409" t="str">
        <f>'Shared-2013'!H156</f>
        <v>-</v>
      </c>
      <c r="O291" s="304" t="s">
        <v>89</v>
      </c>
      <c r="Q291" s="44" t="s">
        <v>181</v>
      </c>
      <c r="R291" s="395">
        <v>0.186</v>
      </c>
      <c r="S291" s="395">
        <v>0.159</v>
      </c>
    </row>
    <row r="292" spans="3:19" x14ac:dyDescent="0.25">
      <c r="C292" s="686" t="s">
        <v>182</v>
      </c>
      <c r="D292" s="725"/>
      <c r="E292" s="725"/>
      <c r="F292" s="725"/>
      <c r="G292" s="687"/>
      <c r="H292" s="366" t="s">
        <v>521</v>
      </c>
      <c r="I292" s="409" t="str">
        <f>'Shared-2013'!F157</f>
        <v>-</v>
      </c>
      <c r="K292" s="366" t="s">
        <v>521</v>
      </c>
      <c r="L292" s="409" t="str">
        <f>'Shared-2013'!H157</f>
        <v>-</v>
      </c>
      <c r="O292" s="304" t="s">
        <v>89</v>
      </c>
      <c r="Q292" s="44" t="s">
        <v>182</v>
      </c>
      <c r="R292" s="395">
        <v>0.186</v>
      </c>
      <c r="S292" s="395">
        <v>0.159</v>
      </c>
    </row>
    <row r="293" spans="3:19" x14ac:dyDescent="0.25">
      <c r="C293" s="688" t="s">
        <v>183</v>
      </c>
      <c r="D293" s="726"/>
      <c r="E293" s="726"/>
      <c r="F293" s="726"/>
      <c r="G293" s="689"/>
      <c r="H293" s="410" t="s">
        <v>521</v>
      </c>
      <c r="I293" s="411" t="str">
        <f>'Shared-2013'!F158</f>
        <v>-</v>
      </c>
      <c r="K293" s="410" t="s">
        <v>521</v>
      </c>
      <c r="L293" s="411" t="str">
        <f>'Shared-2013'!H158</f>
        <v>-</v>
      </c>
      <c r="O293" s="304" t="s">
        <v>89</v>
      </c>
      <c r="Q293" s="45" t="s">
        <v>183</v>
      </c>
      <c r="R293" s="396">
        <v>0.186</v>
      </c>
      <c r="S293" s="396">
        <v>0.159</v>
      </c>
    </row>
    <row r="294" spans="3:19" x14ac:dyDescent="0.25">
      <c r="D294" s="8"/>
      <c r="E294" s="8"/>
      <c r="G294" s="8"/>
      <c r="H294" s="95"/>
      <c r="I294" s="95"/>
      <c r="O294" s="304" t="s">
        <v>89</v>
      </c>
    </row>
    <row r="295" spans="3:19" x14ac:dyDescent="0.25">
      <c r="D295" s="8"/>
      <c r="E295" s="8"/>
      <c r="G295" s="8"/>
      <c r="H295" s="95"/>
      <c r="I295" s="95"/>
      <c r="K295" s="735" t="s">
        <v>1037</v>
      </c>
      <c r="L295" s="691"/>
      <c r="O295" s="304" t="s">
        <v>89</v>
      </c>
    </row>
    <row r="296" spans="3:19" ht="33.75" x14ac:dyDescent="0.25">
      <c r="C296" s="811" t="s">
        <v>167</v>
      </c>
      <c r="D296" s="801"/>
      <c r="E296" s="801"/>
      <c r="F296" s="801"/>
      <c r="G296" s="812"/>
      <c r="H296" s="265" t="s">
        <v>640</v>
      </c>
      <c r="K296" s="265" t="s">
        <v>1041</v>
      </c>
      <c r="L296" s="368"/>
      <c r="O296" s="304" t="s">
        <v>89</v>
      </c>
      <c r="Q296" s="240" t="s">
        <v>190</v>
      </c>
      <c r="R296" s="264" t="s">
        <v>191</v>
      </c>
    </row>
    <row r="297" spans="3:19" x14ac:dyDescent="0.25">
      <c r="C297" s="579" t="s">
        <v>186</v>
      </c>
      <c r="D297" s="725"/>
      <c r="E297" s="725"/>
      <c r="F297" s="725"/>
      <c r="G297" s="687"/>
      <c r="H297" s="366" t="s">
        <v>521</v>
      </c>
      <c r="K297" s="366" t="s">
        <v>521</v>
      </c>
      <c r="L297" s="369"/>
      <c r="O297" s="304" t="s">
        <v>89</v>
      </c>
      <c r="Q297" s="43" t="s">
        <v>186</v>
      </c>
      <c r="R297" s="397">
        <v>3.6999999999999998E-2</v>
      </c>
    </row>
    <row r="298" spans="3:19" x14ac:dyDescent="0.25">
      <c r="C298" s="579" t="s">
        <v>187</v>
      </c>
      <c r="D298" s="725"/>
      <c r="E298" s="725"/>
      <c r="F298" s="725"/>
      <c r="G298" s="687"/>
      <c r="H298" s="366" t="s">
        <v>521</v>
      </c>
      <c r="K298" s="366" t="s">
        <v>521</v>
      </c>
      <c r="L298" s="369"/>
      <c r="O298" s="304" t="s">
        <v>89</v>
      </c>
      <c r="Q298" s="239" t="s">
        <v>187</v>
      </c>
      <c r="R298" s="398">
        <v>-5.1999999999999998E-2</v>
      </c>
    </row>
    <row r="299" spans="3:19" x14ac:dyDescent="0.25">
      <c r="C299" s="579" t="s">
        <v>188</v>
      </c>
      <c r="D299" s="725"/>
      <c r="E299" s="725"/>
      <c r="F299" s="725"/>
      <c r="G299" s="687"/>
      <c r="H299" s="366" t="s">
        <v>521</v>
      </c>
      <c r="K299" s="366" t="s">
        <v>521</v>
      </c>
      <c r="L299" s="369"/>
      <c r="O299" s="304" t="s">
        <v>89</v>
      </c>
      <c r="Q299" s="44" t="s">
        <v>193</v>
      </c>
      <c r="R299" s="398">
        <v>7.0000000000000001E-3</v>
      </c>
    </row>
    <row r="300" spans="3:19" x14ac:dyDescent="0.25">
      <c r="C300" s="580" t="s">
        <v>189</v>
      </c>
      <c r="D300" s="726"/>
      <c r="E300" s="726"/>
      <c r="F300" s="726"/>
      <c r="G300" s="689"/>
      <c r="H300" s="410" t="s">
        <v>521</v>
      </c>
      <c r="K300" s="410" t="s">
        <v>521</v>
      </c>
      <c r="L300" s="372"/>
      <c r="O300" s="304" t="s">
        <v>89</v>
      </c>
      <c r="Q300" s="44" t="s">
        <v>192</v>
      </c>
      <c r="R300" s="398">
        <v>2.1000000000000001E-2</v>
      </c>
    </row>
    <row r="301" spans="3:19" x14ac:dyDescent="0.25">
      <c r="D301" s="8"/>
      <c r="E301" s="8"/>
      <c r="G301" s="8"/>
      <c r="H301" s="95"/>
      <c r="O301" s="304" t="s">
        <v>89</v>
      </c>
      <c r="Q301" s="45" t="s">
        <v>185</v>
      </c>
      <c r="R301" s="399">
        <v>1E-3</v>
      </c>
    </row>
    <row r="302" spans="3:19" ht="33.75" x14ac:dyDescent="0.25">
      <c r="C302" s="813" t="s">
        <v>184</v>
      </c>
      <c r="D302" s="814"/>
      <c r="E302" s="259"/>
      <c r="F302" s="259"/>
      <c r="G302" s="259"/>
      <c r="H302" s="273"/>
      <c r="I302" s="265" t="s">
        <v>1039</v>
      </c>
      <c r="K302" s="370"/>
      <c r="L302" s="265" t="s">
        <v>1040</v>
      </c>
      <c r="O302" s="304" t="s">
        <v>89</v>
      </c>
    </row>
    <row r="303" spans="3:19" x14ac:dyDescent="0.25">
      <c r="C303" s="776" t="s">
        <v>185</v>
      </c>
      <c r="D303" s="778"/>
      <c r="E303" s="777"/>
      <c r="F303" s="777"/>
      <c r="G303" s="777"/>
      <c r="H303" s="778"/>
      <c r="I303" s="413" t="s">
        <v>521</v>
      </c>
      <c r="K303" s="371"/>
      <c r="L303" s="413" t="s">
        <v>521</v>
      </c>
      <c r="O303" s="304" t="s">
        <v>89</v>
      </c>
    </row>
    <row r="304" spans="3:19" x14ac:dyDescent="0.25">
      <c r="D304" s="8"/>
      <c r="E304" s="8"/>
      <c r="G304" s="8"/>
      <c r="H304" s="95"/>
      <c r="I304" s="95"/>
      <c r="O304" s="304" t="s">
        <v>89</v>
      </c>
    </row>
    <row r="305" spans="3:17" x14ac:dyDescent="0.25">
      <c r="C305" s="4"/>
      <c r="D305" s="4"/>
      <c r="E305" s="4"/>
      <c r="F305" s="4"/>
      <c r="O305" s="304" t="s">
        <v>89</v>
      </c>
    </row>
    <row r="306" spans="3:17" x14ac:dyDescent="0.25">
      <c r="C306" s="1043" t="s">
        <v>1049</v>
      </c>
      <c r="D306" s="1111" t="str">
        <f>$D$63</f>
        <v>Illeszkedési kiigazítás</v>
      </c>
      <c r="E306" s="4"/>
      <c r="F306" s="4"/>
      <c r="O306" s="304" t="s">
        <v>89</v>
      </c>
    </row>
    <row r="307" spans="3:17" x14ac:dyDescent="0.25">
      <c r="C307" s="1045"/>
      <c r="D307" s="1112"/>
      <c r="E307" s="93"/>
      <c r="F307" s="92"/>
      <c r="O307" s="304" t="s">
        <v>89</v>
      </c>
    </row>
    <row r="308" spans="3:17" ht="9.75" customHeight="1" x14ac:dyDescent="0.25">
      <c r="D308" s="4"/>
      <c r="F308" s="60"/>
      <c r="G308" s="8"/>
      <c r="O308" s="304" t="s">
        <v>89</v>
      </c>
    </row>
    <row r="309" spans="3:17" x14ac:dyDescent="0.25">
      <c r="C309" s="766" t="s">
        <v>71</v>
      </c>
      <c r="D309" s="723"/>
      <c r="E309" s="815"/>
      <c r="F309" s="816"/>
      <c r="G309" s="450" t="str">
        <f>IF(COUNTIF(G310:G312,"&lt;&gt;-")&gt;0,SUM(G310:G312),"-")</f>
        <v>-</v>
      </c>
      <c r="I309" s="518" t="s">
        <v>521</v>
      </c>
      <c r="J309" s="741" t="s">
        <v>775</v>
      </c>
      <c r="K309" s="777"/>
      <c r="L309" s="777"/>
      <c r="M309" s="777"/>
      <c r="N309" s="778"/>
      <c r="O309" s="304" t="s">
        <v>89</v>
      </c>
    </row>
    <row r="310" spans="3:17" x14ac:dyDescent="0.25">
      <c r="C310" s="686" t="s">
        <v>689</v>
      </c>
      <c r="D310" s="725"/>
      <c r="E310" s="817"/>
      <c r="F310" s="818"/>
      <c r="G310" s="514" t="s">
        <v>521</v>
      </c>
      <c r="O310" s="304" t="s">
        <v>89</v>
      </c>
    </row>
    <row r="311" spans="3:17" x14ac:dyDescent="0.25">
      <c r="C311" s="686" t="s">
        <v>690</v>
      </c>
      <c r="D311" s="725"/>
      <c r="E311" s="817"/>
      <c r="F311" s="818"/>
      <c r="G311" s="514" t="s">
        <v>521</v>
      </c>
      <c r="O311" s="304" t="s">
        <v>89</v>
      </c>
    </row>
    <row r="312" spans="3:17" x14ac:dyDescent="0.25">
      <c r="C312" s="688" t="s">
        <v>715</v>
      </c>
      <c r="D312" s="726"/>
      <c r="E312" s="819"/>
      <c r="F312" s="820"/>
      <c r="G312" s="519" t="s">
        <v>521</v>
      </c>
      <c r="I312" s="518" t="s">
        <v>521</v>
      </c>
      <c r="J312" s="741" t="s">
        <v>727</v>
      </c>
      <c r="K312" s="777"/>
      <c r="L312" s="777"/>
      <c r="M312" s="777"/>
      <c r="N312" s="778"/>
      <c r="O312" s="304" t="s">
        <v>89</v>
      </c>
    </row>
    <row r="313" spans="3:17" ht="8.25" customHeight="1" x14ac:dyDescent="0.25">
      <c r="C313" s="4"/>
      <c r="D313" s="4"/>
      <c r="E313" s="4"/>
      <c r="F313" s="4"/>
      <c r="O313" s="304" t="s">
        <v>89</v>
      </c>
    </row>
    <row r="314" spans="3:17" x14ac:dyDescent="0.25">
      <c r="C314" s="4"/>
      <c r="D314" s="4"/>
      <c r="E314" s="4"/>
      <c r="F314" s="735" t="s">
        <v>729</v>
      </c>
      <c r="G314" s="691"/>
      <c r="O314" s="304" t="s">
        <v>89</v>
      </c>
    </row>
    <row r="315" spans="3:17" x14ac:dyDescent="0.25">
      <c r="C315" s="776" t="s">
        <v>713</v>
      </c>
      <c r="D315" s="672" t="s">
        <v>709</v>
      </c>
      <c r="E315" s="207" t="s">
        <v>89</v>
      </c>
      <c r="F315" s="694" t="s">
        <v>517</v>
      </c>
      <c r="G315" s="694" t="s">
        <v>518</v>
      </c>
      <c r="H315" s="766" t="s">
        <v>728</v>
      </c>
      <c r="I315" s="723"/>
      <c r="J315" s="723"/>
      <c r="K315" s="685"/>
      <c r="L315" s="685"/>
      <c r="M315" s="685"/>
      <c r="O315" s="304" t="s">
        <v>89</v>
      </c>
      <c r="P315" s="301" t="s">
        <v>521</v>
      </c>
      <c r="Q315" s="301" t="s">
        <v>521</v>
      </c>
    </row>
    <row r="316" spans="3:17" x14ac:dyDescent="0.25">
      <c r="C316" s="736" t="s">
        <v>67</v>
      </c>
      <c r="D316" s="528" t="s">
        <v>521</v>
      </c>
      <c r="E316" s="207" t="s">
        <v>89</v>
      </c>
      <c r="F316" s="528" t="s">
        <v>521</v>
      </c>
      <c r="G316" s="520" t="s">
        <v>521</v>
      </c>
      <c r="H316" s="1124" t="s">
        <v>714</v>
      </c>
      <c r="I316" s="1125"/>
      <c r="J316" s="1125"/>
      <c r="K316" s="1125"/>
      <c r="L316" s="1125"/>
      <c r="M316" s="1126"/>
      <c r="O316" s="304" t="s">
        <v>89</v>
      </c>
      <c r="P316" s="301" t="s">
        <v>535</v>
      </c>
      <c r="Q316" s="301" t="s">
        <v>714</v>
      </c>
    </row>
    <row r="317" spans="3:17" x14ac:dyDescent="0.25">
      <c r="C317" s="738" t="s">
        <v>164</v>
      </c>
      <c r="D317" s="514" t="s">
        <v>521</v>
      </c>
      <c r="E317" s="207" t="s">
        <v>89</v>
      </c>
      <c r="F317" s="514" t="s">
        <v>521</v>
      </c>
      <c r="G317" s="515" t="s">
        <v>521</v>
      </c>
      <c r="H317" s="1119" t="s">
        <v>714</v>
      </c>
      <c r="I317" s="1120"/>
      <c r="J317" s="1120"/>
      <c r="K317" s="1120"/>
      <c r="L317" s="1120"/>
      <c r="M317" s="1121"/>
      <c r="O317" s="304" t="s">
        <v>89</v>
      </c>
      <c r="P317" s="301" t="s">
        <v>533</v>
      </c>
      <c r="Q317" s="301" t="s">
        <v>1051</v>
      </c>
    </row>
    <row r="318" spans="3:17" x14ac:dyDescent="0.25">
      <c r="C318" s="738" t="s">
        <v>165</v>
      </c>
      <c r="D318" s="514" t="s">
        <v>521</v>
      </c>
      <c r="E318" s="207" t="s">
        <v>89</v>
      </c>
      <c r="F318" s="514" t="s">
        <v>521</v>
      </c>
      <c r="G318" s="515" t="s">
        <v>521</v>
      </c>
      <c r="H318" s="1119" t="s">
        <v>714</v>
      </c>
      <c r="I318" s="1120"/>
      <c r="J318" s="1120"/>
      <c r="K318" s="1120"/>
      <c r="L318" s="1120"/>
      <c r="M318" s="1121"/>
      <c r="O318" s="304" t="s">
        <v>89</v>
      </c>
      <c r="P318" s="301" t="s">
        <v>140</v>
      </c>
      <c r="Q318" s="301" t="s">
        <v>1052</v>
      </c>
    </row>
    <row r="319" spans="3:17" x14ac:dyDescent="0.25">
      <c r="C319" s="738" t="s">
        <v>600</v>
      </c>
      <c r="D319" s="514" t="s">
        <v>521</v>
      </c>
      <c r="E319" s="207" t="s">
        <v>89</v>
      </c>
      <c r="F319" s="514" t="s">
        <v>521</v>
      </c>
      <c r="G319" s="515" t="s">
        <v>521</v>
      </c>
      <c r="H319" s="1119" t="s">
        <v>714</v>
      </c>
      <c r="I319" s="1120"/>
      <c r="J319" s="1120"/>
      <c r="K319" s="1120"/>
      <c r="L319" s="1120"/>
      <c r="M319" s="1121"/>
      <c r="O319" s="304" t="s">
        <v>89</v>
      </c>
    </row>
    <row r="320" spans="3:17" x14ac:dyDescent="0.25">
      <c r="C320" s="738" t="s">
        <v>555</v>
      </c>
      <c r="D320" s="514" t="s">
        <v>521</v>
      </c>
      <c r="E320" s="207" t="s">
        <v>89</v>
      </c>
      <c r="F320" s="514" t="s">
        <v>521</v>
      </c>
      <c r="G320" s="515" t="s">
        <v>521</v>
      </c>
      <c r="H320" s="1119" t="s">
        <v>714</v>
      </c>
      <c r="I320" s="1120"/>
      <c r="J320" s="1120"/>
      <c r="K320" s="1120"/>
      <c r="L320" s="1120"/>
      <c r="M320" s="1121"/>
      <c r="O320" s="304" t="s">
        <v>89</v>
      </c>
    </row>
    <row r="321" spans="3:15" x14ac:dyDescent="0.25">
      <c r="C321" s="738" t="s">
        <v>166</v>
      </c>
      <c r="D321" s="514" t="s">
        <v>521</v>
      </c>
      <c r="E321" s="207" t="s">
        <v>89</v>
      </c>
      <c r="F321" s="514" t="s">
        <v>521</v>
      </c>
      <c r="G321" s="515" t="s">
        <v>521</v>
      </c>
      <c r="H321" s="1119" t="s">
        <v>714</v>
      </c>
      <c r="I321" s="1120"/>
      <c r="J321" s="1120"/>
      <c r="K321" s="1120"/>
      <c r="L321" s="1120"/>
      <c r="M321" s="1121"/>
      <c r="O321" s="304" t="s">
        <v>89</v>
      </c>
    </row>
    <row r="322" spans="3:15" x14ac:dyDescent="0.25">
      <c r="C322" s="738" t="s">
        <v>557</v>
      </c>
      <c r="D322" s="514" t="s">
        <v>521</v>
      </c>
      <c r="E322" s="207" t="s">
        <v>89</v>
      </c>
      <c r="F322" s="514" t="s">
        <v>521</v>
      </c>
      <c r="G322" s="515" t="s">
        <v>521</v>
      </c>
      <c r="H322" s="1119" t="s">
        <v>714</v>
      </c>
      <c r="I322" s="1120"/>
      <c r="J322" s="1120"/>
      <c r="K322" s="1120"/>
      <c r="L322" s="1120"/>
      <c r="M322" s="1121"/>
      <c r="O322" s="304" t="s">
        <v>89</v>
      </c>
    </row>
    <row r="323" spans="3:15" x14ac:dyDescent="0.25">
      <c r="C323" s="738" t="s">
        <v>711</v>
      </c>
      <c r="D323" s="514" t="s">
        <v>521</v>
      </c>
      <c r="E323" s="207" t="s">
        <v>89</v>
      </c>
      <c r="F323" s="514" t="s">
        <v>521</v>
      </c>
      <c r="G323" s="515" t="s">
        <v>521</v>
      </c>
      <c r="H323" s="1119" t="s">
        <v>714</v>
      </c>
      <c r="I323" s="1120"/>
      <c r="J323" s="1120"/>
      <c r="K323" s="1120"/>
      <c r="L323" s="1120"/>
      <c r="M323" s="1121"/>
      <c r="O323" s="304" t="s">
        <v>89</v>
      </c>
    </row>
    <row r="324" spans="3:15" x14ac:dyDescent="0.25">
      <c r="C324" s="738" t="s">
        <v>710</v>
      </c>
      <c r="D324" s="519" t="s">
        <v>521</v>
      </c>
      <c r="E324" s="207" t="s">
        <v>89</v>
      </c>
      <c r="F324" s="519" t="s">
        <v>521</v>
      </c>
      <c r="G324" s="525" t="s">
        <v>521</v>
      </c>
      <c r="H324" s="1127" t="s">
        <v>714</v>
      </c>
      <c r="I324" s="1128"/>
      <c r="J324" s="1128"/>
      <c r="K324" s="1128"/>
      <c r="L324" s="1128"/>
      <c r="M324" s="1129"/>
      <c r="O324" s="304" t="s">
        <v>89</v>
      </c>
    </row>
    <row r="325" spans="3:15" x14ac:dyDescent="0.25">
      <c r="C325" s="717" t="s">
        <v>1167</v>
      </c>
      <c r="D325" s="528" t="s">
        <v>521</v>
      </c>
      <c r="E325" s="207" t="s">
        <v>89</v>
      </c>
      <c r="F325" s="528" t="s">
        <v>521</v>
      </c>
      <c r="G325" s="520" t="s">
        <v>521</v>
      </c>
      <c r="H325" s="1124" t="s">
        <v>714</v>
      </c>
      <c r="I325" s="1125"/>
      <c r="J325" s="1125"/>
      <c r="K325" s="1125"/>
      <c r="L325" s="1125"/>
      <c r="M325" s="1126"/>
      <c r="O325" s="304" t="s">
        <v>89</v>
      </c>
    </row>
    <row r="326" spans="3:15" x14ac:dyDescent="0.25">
      <c r="C326" s="720" t="s">
        <v>776</v>
      </c>
      <c r="D326" s="519" t="s">
        <v>521</v>
      </c>
      <c r="E326" s="207" t="s">
        <v>89</v>
      </c>
      <c r="F326" s="519" t="s">
        <v>521</v>
      </c>
      <c r="G326" s="525" t="s">
        <v>521</v>
      </c>
      <c r="H326" s="1127" t="s">
        <v>714</v>
      </c>
      <c r="I326" s="1128"/>
      <c r="J326" s="1128"/>
      <c r="K326" s="1128"/>
      <c r="L326" s="1128"/>
      <c r="M326" s="1129"/>
      <c r="O326" s="304" t="s">
        <v>89</v>
      </c>
    </row>
    <row r="327" spans="3:15" x14ac:dyDescent="0.25">
      <c r="C327" s="515" t="s">
        <v>712</v>
      </c>
      <c r="D327" s="524"/>
      <c r="E327" s="207" t="s">
        <v>89</v>
      </c>
      <c r="F327" s="514" t="s">
        <v>521</v>
      </c>
      <c r="G327" s="514" t="s">
        <v>521</v>
      </c>
      <c r="O327" s="304" t="s">
        <v>89</v>
      </c>
    </row>
    <row r="328" spans="3:15" x14ac:dyDescent="0.25">
      <c r="C328" s="515" t="s">
        <v>716</v>
      </c>
      <c r="D328" s="524"/>
      <c r="E328" s="207" t="s">
        <v>89</v>
      </c>
      <c r="F328" s="514" t="s">
        <v>521</v>
      </c>
      <c r="G328" s="514" t="s">
        <v>521</v>
      </c>
      <c r="O328" s="304" t="s">
        <v>89</v>
      </c>
    </row>
    <row r="329" spans="3:15" x14ac:dyDescent="0.25">
      <c r="C329" s="515" t="s">
        <v>717</v>
      </c>
      <c r="D329" s="524"/>
      <c r="E329" s="207" t="s">
        <v>89</v>
      </c>
      <c r="F329" s="514" t="s">
        <v>521</v>
      </c>
      <c r="G329" s="514" t="s">
        <v>521</v>
      </c>
      <c r="O329" s="304" t="s">
        <v>89</v>
      </c>
    </row>
    <row r="330" spans="3:15" x14ac:dyDescent="0.25">
      <c r="C330" s="515" t="s">
        <v>718</v>
      </c>
      <c r="D330" s="524"/>
      <c r="E330" s="207" t="s">
        <v>89</v>
      </c>
      <c r="F330" s="514" t="s">
        <v>521</v>
      </c>
      <c r="G330" s="514" t="s">
        <v>521</v>
      </c>
      <c r="O330" s="304" t="s">
        <v>89</v>
      </c>
    </row>
    <row r="331" spans="3:15" x14ac:dyDescent="0.25">
      <c r="C331" s="515" t="s">
        <v>719</v>
      </c>
      <c r="D331" s="524"/>
      <c r="E331" s="207" t="s">
        <v>89</v>
      </c>
      <c r="F331" s="514" t="s">
        <v>521</v>
      </c>
      <c r="G331" s="514" t="s">
        <v>521</v>
      </c>
      <c r="O331" s="304" t="s">
        <v>89</v>
      </c>
    </row>
    <row r="332" spans="3:15" x14ac:dyDescent="0.25">
      <c r="C332" s="515" t="s">
        <v>720</v>
      </c>
      <c r="D332" s="524"/>
      <c r="E332" s="207" t="s">
        <v>89</v>
      </c>
      <c r="F332" s="514" t="s">
        <v>521</v>
      </c>
      <c r="G332" s="514" t="s">
        <v>521</v>
      </c>
      <c r="O332" s="304" t="s">
        <v>89</v>
      </c>
    </row>
    <row r="333" spans="3:15" x14ac:dyDescent="0.25">
      <c r="C333" s="515" t="s">
        <v>721</v>
      </c>
      <c r="D333" s="524"/>
      <c r="E333" s="207" t="s">
        <v>89</v>
      </c>
      <c r="F333" s="514" t="s">
        <v>521</v>
      </c>
      <c r="G333" s="514" t="s">
        <v>521</v>
      </c>
      <c r="O333" s="304" t="s">
        <v>89</v>
      </c>
    </row>
    <row r="334" spans="3:15" x14ac:dyDescent="0.25">
      <c r="C334" s="515" t="s">
        <v>722</v>
      </c>
      <c r="D334" s="524"/>
      <c r="E334" s="207" t="s">
        <v>89</v>
      </c>
      <c r="F334" s="514" t="s">
        <v>521</v>
      </c>
      <c r="G334" s="514" t="s">
        <v>521</v>
      </c>
      <c r="O334" s="304" t="s">
        <v>89</v>
      </c>
    </row>
    <row r="335" spans="3:15" x14ac:dyDescent="0.25">
      <c r="C335" s="515" t="s">
        <v>723</v>
      </c>
      <c r="D335" s="524"/>
      <c r="E335" s="207" t="s">
        <v>89</v>
      </c>
      <c r="F335" s="514" t="s">
        <v>521</v>
      </c>
      <c r="G335" s="514" t="s">
        <v>521</v>
      </c>
      <c r="O335" s="304" t="s">
        <v>89</v>
      </c>
    </row>
    <row r="336" spans="3:15" x14ac:dyDescent="0.25">
      <c r="C336" s="515" t="s">
        <v>724</v>
      </c>
      <c r="D336" s="524"/>
      <c r="E336" s="207" t="s">
        <v>89</v>
      </c>
      <c r="F336" s="514" t="s">
        <v>521</v>
      </c>
      <c r="G336" s="514" t="s">
        <v>521</v>
      </c>
      <c r="O336" s="304" t="s">
        <v>89</v>
      </c>
    </row>
    <row r="337" spans="1:15" x14ac:dyDescent="0.25">
      <c r="C337" s="515" t="s">
        <v>725</v>
      </c>
      <c r="D337" s="524"/>
      <c r="E337" s="207" t="s">
        <v>89</v>
      </c>
      <c r="F337" s="514" t="s">
        <v>521</v>
      </c>
      <c r="G337" s="514" t="s">
        <v>521</v>
      </c>
      <c r="O337" s="304" t="s">
        <v>89</v>
      </c>
    </row>
    <row r="338" spans="1:15" x14ac:dyDescent="0.25">
      <c r="C338" s="515" t="s">
        <v>726</v>
      </c>
      <c r="D338" s="524"/>
      <c r="E338" s="207" t="s">
        <v>89</v>
      </c>
      <c r="F338" s="514" t="s">
        <v>521</v>
      </c>
      <c r="G338" s="514" t="s">
        <v>521</v>
      </c>
      <c r="O338" s="304" t="s">
        <v>89</v>
      </c>
    </row>
    <row r="339" spans="1:15" x14ac:dyDescent="0.25">
      <c r="O339" s="304" t="s">
        <v>89</v>
      </c>
    </row>
    <row r="340" spans="1:15" x14ac:dyDescent="0.25">
      <c r="O340" s="304" t="s">
        <v>89</v>
      </c>
    </row>
    <row r="341" spans="1:15" x14ac:dyDescent="0.25">
      <c r="C341" s="1043" t="s">
        <v>1050</v>
      </c>
      <c r="D341" s="1111" t="str">
        <f>$D$63</f>
        <v>Illeszkedési kiigazítás</v>
      </c>
      <c r="O341" s="304" t="s">
        <v>89</v>
      </c>
    </row>
    <row r="342" spans="1:15" x14ac:dyDescent="0.25">
      <c r="C342" s="1045"/>
      <c r="D342" s="1112"/>
      <c r="O342" s="304" t="s">
        <v>89</v>
      </c>
    </row>
    <row r="343" spans="1:15" x14ac:dyDescent="0.25">
      <c r="O343" s="304" t="s">
        <v>89</v>
      </c>
    </row>
    <row r="344" spans="1:15" x14ac:dyDescent="0.25">
      <c r="C344" s="181" t="s">
        <v>697</v>
      </c>
      <c r="D344" s="695" t="s">
        <v>514</v>
      </c>
      <c r="E344" s="155" t="s">
        <v>89</v>
      </c>
      <c r="F344" s="695" t="s">
        <v>516</v>
      </c>
      <c r="G344" s="695" t="s">
        <v>699</v>
      </c>
      <c r="H344" s="695" t="s">
        <v>700</v>
      </c>
      <c r="I344" s="695" t="s">
        <v>701</v>
      </c>
      <c r="J344" s="695" t="s">
        <v>504</v>
      </c>
      <c r="K344" s="695" t="s">
        <v>702</v>
      </c>
      <c r="L344" s="695" t="s">
        <v>703</v>
      </c>
      <c r="O344" s="304" t="s">
        <v>89</v>
      </c>
    </row>
    <row r="345" spans="1:15" x14ac:dyDescent="0.25">
      <c r="C345" s="821" t="s">
        <v>707</v>
      </c>
      <c r="D345" s="451">
        <v>0</v>
      </c>
      <c r="E345" s="155" t="s">
        <v>89</v>
      </c>
      <c r="F345" s="451">
        <f>SUM(H12:I12)</f>
        <v>0</v>
      </c>
      <c r="G345" s="451">
        <f>SUM(H13:I13)</f>
        <v>0</v>
      </c>
      <c r="H345" s="451">
        <f>SUM(H14:I14)</f>
        <v>0</v>
      </c>
      <c r="I345" s="451">
        <f>SUM(H15:I15)</f>
        <v>0</v>
      </c>
      <c r="J345" s="451">
        <f>SUM(H16:I16)</f>
        <v>0</v>
      </c>
      <c r="K345" s="451">
        <f>SUM(H17:I17)</f>
        <v>0</v>
      </c>
      <c r="L345" s="451">
        <f>SUM(F24)</f>
        <v>0</v>
      </c>
      <c r="O345" s="304" t="s">
        <v>89</v>
      </c>
    </row>
    <row r="346" spans="1:15" x14ac:dyDescent="0.25">
      <c r="A346" s="241"/>
      <c r="B346" s="241"/>
      <c r="C346" s="241"/>
      <c r="D346" s="241"/>
      <c r="E346" s="241"/>
      <c r="F346" s="241"/>
      <c r="G346" s="241"/>
      <c r="H346" s="292"/>
      <c r="I346" s="242"/>
      <c r="O346" s="304" t="s">
        <v>89</v>
      </c>
    </row>
    <row r="347" spans="1:15" x14ac:dyDescent="0.25">
      <c r="C347" s="311" t="s">
        <v>41</v>
      </c>
      <c r="D347" s="745" t="s">
        <v>514</v>
      </c>
      <c r="E347" s="157" t="s">
        <v>89</v>
      </c>
      <c r="F347" s="745" t="s">
        <v>516</v>
      </c>
      <c r="G347" s="745" t="s">
        <v>699</v>
      </c>
      <c r="H347" s="745" t="s">
        <v>700</v>
      </c>
      <c r="I347" s="745" t="s">
        <v>701</v>
      </c>
      <c r="J347" s="745" t="s">
        <v>504</v>
      </c>
      <c r="K347" s="745" t="s">
        <v>702</v>
      </c>
      <c r="L347" s="745" t="s">
        <v>703</v>
      </c>
      <c r="O347" s="304" t="s">
        <v>89</v>
      </c>
    </row>
    <row r="348" spans="1:15" x14ac:dyDescent="0.25">
      <c r="C348" s="822">
        <v>1</v>
      </c>
      <c r="D348" s="557">
        <f>SUM(F348:K348)</f>
        <v>0</v>
      </c>
      <c r="E348" s="157" t="s">
        <v>89</v>
      </c>
      <c r="F348" s="548" t="s">
        <v>521</v>
      </c>
      <c r="G348" s="548" t="s">
        <v>521</v>
      </c>
      <c r="H348" s="548" t="s">
        <v>521</v>
      </c>
      <c r="I348" s="548" t="s">
        <v>521</v>
      </c>
      <c r="J348" s="548" t="s">
        <v>521</v>
      </c>
      <c r="K348" s="548" t="s">
        <v>521</v>
      </c>
      <c r="L348" s="548" t="s">
        <v>521</v>
      </c>
      <c r="O348" s="304" t="s">
        <v>89</v>
      </c>
    </row>
    <row r="349" spans="1:15" x14ac:dyDescent="0.25">
      <c r="C349" s="823">
        <v>2</v>
      </c>
      <c r="D349" s="558">
        <f t="shared" ref="D349:D412" si="17">SUM(F349:K349)</f>
        <v>0</v>
      </c>
      <c r="E349" s="155" t="s">
        <v>89</v>
      </c>
      <c r="F349" s="549" t="s">
        <v>521</v>
      </c>
      <c r="G349" s="549" t="s">
        <v>521</v>
      </c>
      <c r="H349" s="549" t="s">
        <v>521</v>
      </c>
      <c r="I349" s="549" t="s">
        <v>521</v>
      </c>
      <c r="J349" s="549" t="s">
        <v>521</v>
      </c>
      <c r="K349" s="549" t="s">
        <v>521</v>
      </c>
      <c r="L349" s="549" t="s">
        <v>521</v>
      </c>
      <c r="O349" s="304" t="s">
        <v>89</v>
      </c>
    </row>
    <row r="350" spans="1:15" x14ac:dyDescent="0.25">
      <c r="C350" s="823">
        <v>3</v>
      </c>
      <c r="D350" s="558">
        <f t="shared" si="17"/>
        <v>0</v>
      </c>
      <c r="E350" s="155" t="s">
        <v>89</v>
      </c>
      <c r="F350" s="549" t="s">
        <v>521</v>
      </c>
      <c r="G350" s="549" t="s">
        <v>521</v>
      </c>
      <c r="H350" s="549" t="s">
        <v>521</v>
      </c>
      <c r="I350" s="549" t="s">
        <v>521</v>
      </c>
      <c r="J350" s="549" t="s">
        <v>521</v>
      </c>
      <c r="K350" s="549" t="s">
        <v>521</v>
      </c>
      <c r="L350" s="549" t="s">
        <v>521</v>
      </c>
      <c r="O350" s="304" t="s">
        <v>89</v>
      </c>
    </row>
    <row r="351" spans="1:15" x14ac:dyDescent="0.25">
      <c r="C351" s="823">
        <v>4</v>
      </c>
      <c r="D351" s="558">
        <f t="shared" si="17"/>
        <v>0</v>
      </c>
      <c r="E351" s="155" t="s">
        <v>89</v>
      </c>
      <c r="F351" s="549" t="s">
        <v>521</v>
      </c>
      <c r="G351" s="549" t="s">
        <v>521</v>
      </c>
      <c r="H351" s="549" t="s">
        <v>521</v>
      </c>
      <c r="I351" s="549" t="s">
        <v>521</v>
      </c>
      <c r="J351" s="549" t="s">
        <v>521</v>
      </c>
      <c r="K351" s="549" t="s">
        <v>521</v>
      </c>
      <c r="L351" s="549" t="s">
        <v>521</v>
      </c>
      <c r="O351" s="304" t="s">
        <v>89</v>
      </c>
    </row>
    <row r="352" spans="1:15" x14ac:dyDescent="0.25">
      <c r="C352" s="823">
        <v>5</v>
      </c>
      <c r="D352" s="558">
        <f t="shared" si="17"/>
        <v>0</v>
      </c>
      <c r="E352" s="155" t="s">
        <v>89</v>
      </c>
      <c r="F352" s="549" t="s">
        <v>521</v>
      </c>
      <c r="G352" s="549" t="s">
        <v>521</v>
      </c>
      <c r="H352" s="549" t="s">
        <v>521</v>
      </c>
      <c r="I352" s="549" t="s">
        <v>521</v>
      </c>
      <c r="J352" s="549" t="s">
        <v>521</v>
      </c>
      <c r="K352" s="549" t="s">
        <v>521</v>
      </c>
      <c r="L352" s="549" t="s">
        <v>521</v>
      </c>
      <c r="O352" s="304" t="s">
        <v>89</v>
      </c>
    </row>
    <row r="353" spans="3:15" x14ac:dyDescent="0.25">
      <c r="C353" s="823">
        <v>6</v>
      </c>
      <c r="D353" s="558">
        <f t="shared" si="17"/>
        <v>0</v>
      </c>
      <c r="E353" s="155" t="s">
        <v>89</v>
      </c>
      <c r="F353" s="549" t="s">
        <v>521</v>
      </c>
      <c r="G353" s="549" t="s">
        <v>521</v>
      </c>
      <c r="H353" s="549" t="s">
        <v>521</v>
      </c>
      <c r="I353" s="549" t="s">
        <v>521</v>
      </c>
      <c r="J353" s="549" t="s">
        <v>521</v>
      </c>
      <c r="K353" s="549" t="s">
        <v>521</v>
      </c>
      <c r="L353" s="549" t="s">
        <v>521</v>
      </c>
      <c r="O353" s="304" t="s">
        <v>89</v>
      </c>
    </row>
    <row r="354" spans="3:15" x14ac:dyDescent="0.25">
      <c r="C354" s="823">
        <v>7</v>
      </c>
      <c r="D354" s="558">
        <f t="shared" si="17"/>
        <v>0</v>
      </c>
      <c r="E354" s="155" t="s">
        <v>89</v>
      </c>
      <c r="F354" s="549" t="s">
        <v>521</v>
      </c>
      <c r="G354" s="549" t="s">
        <v>521</v>
      </c>
      <c r="H354" s="549" t="s">
        <v>521</v>
      </c>
      <c r="I354" s="549" t="s">
        <v>521</v>
      </c>
      <c r="J354" s="549" t="s">
        <v>521</v>
      </c>
      <c r="K354" s="549" t="s">
        <v>521</v>
      </c>
      <c r="L354" s="549" t="s">
        <v>521</v>
      </c>
      <c r="O354" s="304" t="s">
        <v>89</v>
      </c>
    </row>
    <row r="355" spans="3:15" x14ac:dyDescent="0.25">
      <c r="C355" s="823">
        <v>8</v>
      </c>
      <c r="D355" s="558">
        <f t="shared" si="17"/>
        <v>0</v>
      </c>
      <c r="E355" s="155" t="s">
        <v>89</v>
      </c>
      <c r="F355" s="549" t="s">
        <v>521</v>
      </c>
      <c r="G355" s="549" t="s">
        <v>521</v>
      </c>
      <c r="H355" s="549" t="s">
        <v>521</v>
      </c>
      <c r="I355" s="549" t="s">
        <v>521</v>
      </c>
      <c r="J355" s="549" t="s">
        <v>521</v>
      </c>
      <c r="K355" s="549" t="s">
        <v>521</v>
      </c>
      <c r="L355" s="549" t="s">
        <v>521</v>
      </c>
      <c r="O355" s="304" t="s">
        <v>89</v>
      </c>
    </row>
    <row r="356" spans="3:15" x14ac:dyDescent="0.25">
      <c r="C356" s="823">
        <v>9</v>
      </c>
      <c r="D356" s="558">
        <f t="shared" si="17"/>
        <v>0</v>
      </c>
      <c r="E356" s="155" t="s">
        <v>89</v>
      </c>
      <c r="F356" s="549" t="s">
        <v>521</v>
      </c>
      <c r="G356" s="549" t="s">
        <v>521</v>
      </c>
      <c r="H356" s="549" t="s">
        <v>521</v>
      </c>
      <c r="I356" s="549" t="s">
        <v>521</v>
      </c>
      <c r="J356" s="549" t="s">
        <v>521</v>
      </c>
      <c r="K356" s="549" t="s">
        <v>521</v>
      </c>
      <c r="L356" s="549" t="s">
        <v>521</v>
      </c>
      <c r="O356" s="304" t="s">
        <v>89</v>
      </c>
    </row>
    <row r="357" spans="3:15" x14ac:dyDescent="0.25">
      <c r="C357" s="823">
        <v>10</v>
      </c>
      <c r="D357" s="558">
        <f t="shared" si="17"/>
        <v>0</v>
      </c>
      <c r="E357" s="155" t="s">
        <v>89</v>
      </c>
      <c r="F357" s="549" t="s">
        <v>521</v>
      </c>
      <c r="G357" s="549" t="s">
        <v>521</v>
      </c>
      <c r="H357" s="549" t="s">
        <v>521</v>
      </c>
      <c r="I357" s="549" t="s">
        <v>521</v>
      </c>
      <c r="J357" s="549" t="s">
        <v>521</v>
      </c>
      <c r="K357" s="549" t="s">
        <v>521</v>
      </c>
      <c r="L357" s="549" t="s">
        <v>521</v>
      </c>
      <c r="O357" s="304" t="s">
        <v>89</v>
      </c>
    </row>
    <row r="358" spans="3:15" x14ac:dyDescent="0.25">
      <c r="C358" s="823">
        <v>11</v>
      </c>
      <c r="D358" s="558">
        <f t="shared" si="17"/>
        <v>0</v>
      </c>
      <c r="E358" s="155" t="s">
        <v>89</v>
      </c>
      <c r="F358" s="549" t="s">
        <v>521</v>
      </c>
      <c r="G358" s="549" t="s">
        <v>521</v>
      </c>
      <c r="H358" s="549" t="s">
        <v>521</v>
      </c>
      <c r="I358" s="549" t="s">
        <v>521</v>
      </c>
      <c r="J358" s="549" t="s">
        <v>521</v>
      </c>
      <c r="K358" s="549" t="s">
        <v>521</v>
      </c>
      <c r="L358" s="549" t="s">
        <v>521</v>
      </c>
      <c r="O358" s="304" t="s">
        <v>89</v>
      </c>
    </row>
    <row r="359" spans="3:15" x14ac:dyDescent="0.25">
      <c r="C359" s="823">
        <v>12</v>
      </c>
      <c r="D359" s="558">
        <f t="shared" si="17"/>
        <v>0</v>
      </c>
      <c r="E359" s="155" t="s">
        <v>89</v>
      </c>
      <c r="F359" s="549" t="s">
        <v>521</v>
      </c>
      <c r="G359" s="549" t="s">
        <v>521</v>
      </c>
      <c r="H359" s="549" t="s">
        <v>521</v>
      </c>
      <c r="I359" s="549" t="s">
        <v>521</v>
      </c>
      <c r="J359" s="549" t="s">
        <v>521</v>
      </c>
      <c r="K359" s="549" t="s">
        <v>521</v>
      </c>
      <c r="L359" s="549" t="s">
        <v>521</v>
      </c>
      <c r="O359" s="304" t="s">
        <v>89</v>
      </c>
    </row>
    <row r="360" spans="3:15" x14ac:dyDescent="0.25">
      <c r="C360" s="823">
        <v>13</v>
      </c>
      <c r="D360" s="558">
        <f t="shared" si="17"/>
        <v>0</v>
      </c>
      <c r="E360" s="155" t="s">
        <v>89</v>
      </c>
      <c r="F360" s="549" t="s">
        <v>521</v>
      </c>
      <c r="G360" s="549" t="s">
        <v>521</v>
      </c>
      <c r="H360" s="549" t="s">
        <v>521</v>
      </c>
      <c r="I360" s="549" t="s">
        <v>521</v>
      </c>
      <c r="J360" s="549" t="s">
        <v>521</v>
      </c>
      <c r="K360" s="549" t="s">
        <v>521</v>
      </c>
      <c r="L360" s="549" t="s">
        <v>521</v>
      </c>
      <c r="O360" s="304" t="s">
        <v>89</v>
      </c>
    </row>
    <row r="361" spans="3:15" x14ac:dyDescent="0.25">
      <c r="C361" s="823">
        <v>14</v>
      </c>
      <c r="D361" s="558">
        <f t="shared" si="17"/>
        <v>0</v>
      </c>
      <c r="E361" s="155" t="s">
        <v>89</v>
      </c>
      <c r="F361" s="549" t="s">
        <v>521</v>
      </c>
      <c r="G361" s="549" t="s">
        <v>521</v>
      </c>
      <c r="H361" s="549" t="s">
        <v>521</v>
      </c>
      <c r="I361" s="549" t="s">
        <v>521</v>
      </c>
      <c r="J361" s="549" t="s">
        <v>521</v>
      </c>
      <c r="K361" s="549" t="s">
        <v>521</v>
      </c>
      <c r="L361" s="549" t="s">
        <v>521</v>
      </c>
      <c r="O361" s="304" t="s">
        <v>89</v>
      </c>
    </row>
    <row r="362" spans="3:15" x14ac:dyDescent="0.25">
      <c r="C362" s="823">
        <v>15</v>
      </c>
      <c r="D362" s="558">
        <f t="shared" si="17"/>
        <v>0</v>
      </c>
      <c r="E362" s="155" t="s">
        <v>89</v>
      </c>
      <c r="F362" s="549" t="s">
        <v>521</v>
      </c>
      <c r="G362" s="549" t="s">
        <v>521</v>
      </c>
      <c r="H362" s="549" t="s">
        <v>521</v>
      </c>
      <c r="I362" s="549" t="s">
        <v>521</v>
      </c>
      <c r="J362" s="549" t="s">
        <v>521</v>
      </c>
      <c r="K362" s="549" t="s">
        <v>521</v>
      </c>
      <c r="L362" s="549" t="s">
        <v>521</v>
      </c>
      <c r="O362" s="304" t="s">
        <v>89</v>
      </c>
    </row>
    <row r="363" spans="3:15" x14ac:dyDescent="0.25">
      <c r="C363" s="823">
        <v>16</v>
      </c>
      <c r="D363" s="558">
        <f t="shared" si="17"/>
        <v>0</v>
      </c>
      <c r="E363" s="155" t="s">
        <v>89</v>
      </c>
      <c r="F363" s="549" t="s">
        <v>521</v>
      </c>
      <c r="G363" s="549" t="s">
        <v>521</v>
      </c>
      <c r="H363" s="549" t="s">
        <v>521</v>
      </c>
      <c r="I363" s="549" t="s">
        <v>521</v>
      </c>
      <c r="J363" s="549" t="s">
        <v>521</v>
      </c>
      <c r="K363" s="549" t="s">
        <v>521</v>
      </c>
      <c r="L363" s="549" t="s">
        <v>521</v>
      </c>
      <c r="O363" s="304" t="s">
        <v>89</v>
      </c>
    </row>
    <row r="364" spans="3:15" x14ac:dyDescent="0.25">
      <c r="C364" s="823">
        <v>17</v>
      </c>
      <c r="D364" s="558">
        <f t="shared" si="17"/>
        <v>0</v>
      </c>
      <c r="E364" s="155" t="s">
        <v>89</v>
      </c>
      <c r="F364" s="549" t="s">
        <v>521</v>
      </c>
      <c r="G364" s="549" t="s">
        <v>521</v>
      </c>
      <c r="H364" s="549" t="s">
        <v>521</v>
      </c>
      <c r="I364" s="549" t="s">
        <v>521</v>
      </c>
      <c r="J364" s="549" t="s">
        <v>521</v>
      </c>
      <c r="K364" s="549" t="s">
        <v>521</v>
      </c>
      <c r="L364" s="549" t="s">
        <v>521</v>
      </c>
      <c r="O364" s="304" t="s">
        <v>89</v>
      </c>
    </row>
    <row r="365" spans="3:15" x14ac:dyDescent="0.25">
      <c r="C365" s="823">
        <v>18</v>
      </c>
      <c r="D365" s="558">
        <f t="shared" si="17"/>
        <v>0</v>
      </c>
      <c r="E365" s="155" t="s">
        <v>89</v>
      </c>
      <c r="F365" s="549" t="s">
        <v>521</v>
      </c>
      <c r="G365" s="549" t="s">
        <v>521</v>
      </c>
      <c r="H365" s="549" t="s">
        <v>521</v>
      </c>
      <c r="I365" s="549" t="s">
        <v>521</v>
      </c>
      <c r="J365" s="549" t="s">
        <v>521</v>
      </c>
      <c r="K365" s="549" t="s">
        <v>521</v>
      </c>
      <c r="L365" s="549" t="s">
        <v>521</v>
      </c>
      <c r="O365" s="304" t="s">
        <v>89</v>
      </c>
    </row>
    <row r="366" spans="3:15" x14ac:dyDescent="0.25">
      <c r="C366" s="823">
        <v>19</v>
      </c>
      <c r="D366" s="558">
        <f t="shared" si="17"/>
        <v>0</v>
      </c>
      <c r="E366" s="155" t="s">
        <v>89</v>
      </c>
      <c r="F366" s="549" t="s">
        <v>521</v>
      </c>
      <c r="G366" s="549" t="s">
        <v>521</v>
      </c>
      <c r="H366" s="549" t="s">
        <v>521</v>
      </c>
      <c r="I366" s="549" t="s">
        <v>521</v>
      </c>
      <c r="J366" s="549" t="s">
        <v>521</v>
      </c>
      <c r="K366" s="549" t="s">
        <v>521</v>
      </c>
      <c r="L366" s="549" t="s">
        <v>521</v>
      </c>
      <c r="O366" s="304" t="s">
        <v>89</v>
      </c>
    </row>
    <row r="367" spans="3:15" x14ac:dyDescent="0.25">
      <c r="C367" s="823">
        <v>20</v>
      </c>
      <c r="D367" s="558">
        <f t="shared" si="17"/>
        <v>0</v>
      </c>
      <c r="E367" s="155" t="s">
        <v>89</v>
      </c>
      <c r="F367" s="549" t="s">
        <v>521</v>
      </c>
      <c r="G367" s="549" t="s">
        <v>521</v>
      </c>
      <c r="H367" s="549" t="s">
        <v>521</v>
      </c>
      <c r="I367" s="549" t="s">
        <v>521</v>
      </c>
      <c r="J367" s="549" t="s">
        <v>521</v>
      </c>
      <c r="K367" s="549" t="s">
        <v>521</v>
      </c>
      <c r="L367" s="549" t="s">
        <v>521</v>
      </c>
      <c r="O367" s="304" t="s">
        <v>89</v>
      </c>
    </row>
    <row r="368" spans="3:15" x14ac:dyDescent="0.25">
      <c r="C368" s="823">
        <v>21</v>
      </c>
      <c r="D368" s="558">
        <f t="shared" si="17"/>
        <v>0</v>
      </c>
      <c r="E368" s="155" t="s">
        <v>89</v>
      </c>
      <c r="F368" s="549" t="s">
        <v>521</v>
      </c>
      <c r="G368" s="549" t="s">
        <v>521</v>
      </c>
      <c r="H368" s="549" t="s">
        <v>521</v>
      </c>
      <c r="I368" s="549" t="s">
        <v>521</v>
      </c>
      <c r="J368" s="549" t="s">
        <v>521</v>
      </c>
      <c r="K368" s="549" t="s">
        <v>521</v>
      </c>
      <c r="L368" s="549" t="s">
        <v>521</v>
      </c>
      <c r="O368" s="304" t="s">
        <v>89</v>
      </c>
    </row>
    <row r="369" spans="3:15" x14ac:dyDescent="0.25">
      <c r="C369" s="823">
        <v>22</v>
      </c>
      <c r="D369" s="558">
        <f t="shared" si="17"/>
        <v>0</v>
      </c>
      <c r="E369" s="155" t="s">
        <v>89</v>
      </c>
      <c r="F369" s="549" t="s">
        <v>521</v>
      </c>
      <c r="G369" s="549" t="s">
        <v>521</v>
      </c>
      <c r="H369" s="549" t="s">
        <v>521</v>
      </c>
      <c r="I369" s="549" t="s">
        <v>521</v>
      </c>
      <c r="J369" s="549" t="s">
        <v>521</v>
      </c>
      <c r="K369" s="549" t="s">
        <v>521</v>
      </c>
      <c r="L369" s="549" t="s">
        <v>521</v>
      </c>
      <c r="O369" s="304" t="s">
        <v>89</v>
      </c>
    </row>
    <row r="370" spans="3:15" x14ac:dyDescent="0.25">
      <c r="C370" s="823">
        <v>23</v>
      </c>
      <c r="D370" s="558">
        <f t="shared" si="17"/>
        <v>0</v>
      </c>
      <c r="E370" s="155" t="s">
        <v>89</v>
      </c>
      <c r="F370" s="549" t="s">
        <v>521</v>
      </c>
      <c r="G370" s="549" t="s">
        <v>521</v>
      </c>
      <c r="H370" s="549" t="s">
        <v>521</v>
      </c>
      <c r="I370" s="549" t="s">
        <v>521</v>
      </c>
      <c r="J370" s="549" t="s">
        <v>521</v>
      </c>
      <c r="K370" s="549" t="s">
        <v>521</v>
      </c>
      <c r="L370" s="549" t="s">
        <v>521</v>
      </c>
      <c r="O370" s="304" t="s">
        <v>89</v>
      </c>
    </row>
    <row r="371" spans="3:15" x14ac:dyDescent="0.25">
      <c r="C371" s="823">
        <v>24</v>
      </c>
      <c r="D371" s="558">
        <f t="shared" si="17"/>
        <v>0</v>
      </c>
      <c r="E371" s="155" t="s">
        <v>89</v>
      </c>
      <c r="F371" s="549" t="s">
        <v>521</v>
      </c>
      <c r="G371" s="549" t="s">
        <v>521</v>
      </c>
      <c r="H371" s="549" t="s">
        <v>521</v>
      </c>
      <c r="I371" s="549" t="s">
        <v>521</v>
      </c>
      <c r="J371" s="549" t="s">
        <v>521</v>
      </c>
      <c r="K371" s="549" t="s">
        <v>521</v>
      </c>
      <c r="L371" s="549" t="s">
        <v>521</v>
      </c>
      <c r="O371" s="304" t="s">
        <v>89</v>
      </c>
    </row>
    <row r="372" spans="3:15" x14ac:dyDescent="0.25">
      <c r="C372" s="823">
        <v>25</v>
      </c>
      <c r="D372" s="558">
        <f t="shared" si="17"/>
        <v>0</v>
      </c>
      <c r="E372" s="155" t="s">
        <v>89</v>
      </c>
      <c r="F372" s="549" t="s">
        <v>521</v>
      </c>
      <c r="G372" s="549" t="s">
        <v>521</v>
      </c>
      <c r="H372" s="549" t="s">
        <v>521</v>
      </c>
      <c r="I372" s="549" t="s">
        <v>521</v>
      </c>
      <c r="J372" s="549" t="s">
        <v>521</v>
      </c>
      <c r="K372" s="549" t="s">
        <v>521</v>
      </c>
      <c r="L372" s="549" t="s">
        <v>521</v>
      </c>
      <c r="O372" s="304" t="s">
        <v>89</v>
      </c>
    </row>
    <row r="373" spans="3:15" x14ac:dyDescent="0.25">
      <c r="C373" s="823">
        <v>26</v>
      </c>
      <c r="D373" s="558">
        <f t="shared" si="17"/>
        <v>0</v>
      </c>
      <c r="E373" s="155" t="s">
        <v>89</v>
      </c>
      <c r="F373" s="549" t="s">
        <v>521</v>
      </c>
      <c r="G373" s="549" t="s">
        <v>521</v>
      </c>
      <c r="H373" s="549" t="s">
        <v>521</v>
      </c>
      <c r="I373" s="549" t="s">
        <v>521</v>
      </c>
      <c r="J373" s="549" t="s">
        <v>521</v>
      </c>
      <c r="K373" s="549" t="s">
        <v>521</v>
      </c>
      <c r="L373" s="549" t="s">
        <v>521</v>
      </c>
      <c r="O373" s="304" t="s">
        <v>89</v>
      </c>
    </row>
    <row r="374" spans="3:15" x14ac:dyDescent="0.25">
      <c r="C374" s="823">
        <v>27</v>
      </c>
      <c r="D374" s="558">
        <f t="shared" si="17"/>
        <v>0</v>
      </c>
      <c r="E374" s="155" t="s">
        <v>89</v>
      </c>
      <c r="F374" s="549" t="s">
        <v>521</v>
      </c>
      <c r="G374" s="549" t="s">
        <v>521</v>
      </c>
      <c r="H374" s="549" t="s">
        <v>521</v>
      </c>
      <c r="I374" s="549" t="s">
        <v>521</v>
      </c>
      <c r="J374" s="549" t="s">
        <v>521</v>
      </c>
      <c r="K374" s="549" t="s">
        <v>521</v>
      </c>
      <c r="L374" s="549" t="s">
        <v>521</v>
      </c>
      <c r="O374" s="304" t="s">
        <v>89</v>
      </c>
    </row>
    <row r="375" spans="3:15" x14ac:dyDescent="0.25">
      <c r="C375" s="823">
        <v>28</v>
      </c>
      <c r="D375" s="558">
        <f t="shared" si="17"/>
        <v>0</v>
      </c>
      <c r="E375" s="155" t="s">
        <v>89</v>
      </c>
      <c r="F375" s="549" t="s">
        <v>521</v>
      </c>
      <c r="G375" s="549" t="s">
        <v>521</v>
      </c>
      <c r="H375" s="549" t="s">
        <v>521</v>
      </c>
      <c r="I375" s="549" t="s">
        <v>521</v>
      </c>
      <c r="J375" s="549" t="s">
        <v>521</v>
      </c>
      <c r="K375" s="549" t="s">
        <v>521</v>
      </c>
      <c r="L375" s="549" t="s">
        <v>521</v>
      </c>
      <c r="O375" s="304" t="s">
        <v>89</v>
      </c>
    </row>
    <row r="376" spans="3:15" x14ac:dyDescent="0.25">
      <c r="C376" s="823">
        <v>29</v>
      </c>
      <c r="D376" s="558">
        <f t="shared" si="17"/>
        <v>0</v>
      </c>
      <c r="E376" s="155" t="s">
        <v>89</v>
      </c>
      <c r="F376" s="549" t="s">
        <v>521</v>
      </c>
      <c r="G376" s="549" t="s">
        <v>521</v>
      </c>
      <c r="H376" s="549" t="s">
        <v>521</v>
      </c>
      <c r="I376" s="549" t="s">
        <v>521</v>
      </c>
      <c r="J376" s="549" t="s">
        <v>521</v>
      </c>
      <c r="K376" s="549" t="s">
        <v>521</v>
      </c>
      <c r="L376" s="549" t="s">
        <v>521</v>
      </c>
      <c r="O376" s="304" t="s">
        <v>89</v>
      </c>
    </row>
    <row r="377" spans="3:15" x14ac:dyDescent="0.25">
      <c r="C377" s="823">
        <v>30</v>
      </c>
      <c r="D377" s="558">
        <f t="shared" si="17"/>
        <v>0</v>
      </c>
      <c r="E377" s="155" t="s">
        <v>89</v>
      </c>
      <c r="F377" s="549" t="s">
        <v>521</v>
      </c>
      <c r="G377" s="549" t="s">
        <v>521</v>
      </c>
      <c r="H377" s="549" t="s">
        <v>521</v>
      </c>
      <c r="I377" s="549" t="s">
        <v>521</v>
      </c>
      <c r="J377" s="549" t="s">
        <v>521</v>
      </c>
      <c r="K377" s="549" t="s">
        <v>521</v>
      </c>
      <c r="L377" s="549" t="s">
        <v>521</v>
      </c>
      <c r="O377" s="304" t="s">
        <v>89</v>
      </c>
    </row>
    <row r="378" spans="3:15" x14ac:dyDescent="0.25">
      <c r="C378" s="823">
        <v>31</v>
      </c>
      <c r="D378" s="558">
        <f t="shared" si="17"/>
        <v>0</v>
      </c>
      <c r="E378" s="155" t="s">
        <v>89</v>
      </c>
      <c r="F378" s="549" t="s">
        <v>521</v>
      </c>
      <c r="G378" s="549" t="s">
        <v>521</v>
      </c>
      <c r="H378" s="549" t="s">
        <v>521</v>
      </c>
      <c r="I378" s="549" t="s">
        <v>521</v>
      </c>
      <c r="J378" s="549" t="s">
        <v>521</v>
      </c>
      <c r="K378" s="549" t="s">
        <v>521</v>
      </c>
      <c r="L378" s="549" t="s">
        <v>521</v>
      </c>
      <c r="O378" s="304" t="s">
        <v>89</v>
      </c>
    </row>
    <row r="379" spans="3:15" x14ac:dyDescent="0.25">
      <c r="C379" s="823">
        <v>32</v>
      </c>
      <c r="D379" s="558">
        <f t="shared" si="17"/>
        <v>0</v>
      </c>
      <c r="E379" s="155" t="s">
        <v>89</v>
      </c>
      <c r="F379" s="549" t="s">
        <v>521</v>
      </c>
      <c r="G379" s="549" t="s">
        <v>521</v>
      </c>
      <c r="H379" s="549" t="s">
        <v>521</v>
      </c>
      <c r="I379" s="549" t="s">
        <v>521</v>
      </c>
      <c r="J379" s="549" t="s">
        <v>521</v>
      </c>
      <c r="K379" s="549" t="s">
        <v>521</v>
      </c>
      <c r="L379" s="549" t="s">
        <v>521</v>
      </c>
      <c r="O379" s="304" t="s">
        <v>89</v>
      </c>
    </row>
    <row r="380" spans="3:15" x14ac:dyDescent="0.25">
      <c r="C380" s="823">
        <v>33</v>
      </c>
      <c r="D380" s="558">
        <f t="shared" si="17"/>
        <v>0</v>
      </c>
      <c r="E380" s="155" t="s">
        <v>89</v>
      </c>
      <c r="F380" s="549" t="s">
        <v>521</v>
      </c>
      <c r="G380" s="549" t="s">
        <v>521</v>
      </c>
      <c r="H380" s="549" t="s">
        <v>521</v>
      </c>
      <c r="I380" s="549" t="s">
        <v>521</v>
      </c>
      <c r="J380" s="549" t="s">
        <v>521</v>
      </c>
      <c r="K380" s="549" t="s">
        <v>521</v>
      </c>
      <c r="L380" s="549" t="s">
        <v>521</v>
      </c>
      <c r="O380" s="304" t="s">
        <v>89</v>
      </c>
    </row>
    <row r="381" spans="3:15" x14ac:dyDescent="0.25">
      <c r="C381" s="823">
        <v>34</v>
      </c>
      <c r="D381" s="558">
        <f t="shared" si="17"/>
        <v>0</v>
      </c>
      <c r="E381" s="155" t="s">
        <v>89</v>
      </c>
      <c r="F381" s="549" t="s">
        <v>521</v>
      </c>
      <c r="G381" s="549" t="s">
        <v>521</v>
      </c>
      <c r="H381" s="549" t="s">
        <v>521</v>
      </c>
      <c r="I381" s="549" t="s">
        <v>521</v>
      </c>
      <c r="J381" s="549" t="s">
        <v>521</v>
      </c>
      <c r="K381" s="549" t="s">
        <v>521</v>
      </c>
      <c r="L381" s="549" t="s">
        <v>521</v>
      </c>
      <c r="O381" s="304" t="s">
        <v>89</v>
      </c>
    </row>
    <row r="382" spans="3:15" x14ac:dyDescent="0.25">
      <c r="C382" s="823">
        <v>35</v>
      </c>
      <c r="D382" s="558">
        <f t="shared" si="17"/>
        <v>0</v>
      </c>
      <c r="E382" s="155" t="s">
        <v>89</v>
      </c>
      <c r="F382" s="549" t="s">
        <v>521</v>
      </c>
      <c r="G382" s="549" t="s">
        <v>521</v>
      </c>
      <c r="H382" s="549" t="s">
        <v>521</v>
      </c>
      <c r="I382" s="549" t="s">
        <v>521</v>
      </c>
      <c r="J382" s="549" t="s">
        <v>521</v>
      </c>
      <c r="K382" s="549" t="s">
        <v>521</v>
      </c>
      <c r="L382" s="549" t="s">
        <v>521</v>
      </c>
      <c r="O382" s="304" t="s">
        <v>89</v>
      </c>
    </row>
    <row r="383" spans="3:15" x14ac:dyDescent="0.25">
      <c r="C383" s="823">
        <v>36</v>
      </c>
      <c r="D383" s="558">
        <f t="shared" si="17"/>
        <v>0</v>
      </c>
      <c r="E383" s="155" t="s">
        <v>89</v>
      </c>
      <c r="F383" s="549" t="s">
        <v>521</v>
      </c>
      <c r="G383" s="549" t="s">
        <v>521</v>
      </c>
      <c r="H383" s="549" t="s">
        <v>521</v>
      </c>
      <c r="I383" s="549" t="s">
        <v>521</v>
      </c>
      <c r="J383" s="549" t="s">
        <v>521</v>
      </c>
      <c r="K383" s="549" t="s">
        <v>521</v>
      </c>
      <c r="L383" s="549" t="s">
        <v>521</v>
      </c>
      <c r="O383" s="304" t="s">
        <v>89</v>
      </c>
    </row>
    <row r="384" spans="3:15" x14ac:dyDescent="0.25">
      <c r="C384" s="823">
        <v>37</v>
      </c>
      <c r="D384" s="558">
        <f t="shared" si="17"/>
        <v>0</v>
      </c>
      <c r="E384" s="155" t="s">
        <v>89</v>
      </c>
      <c r="F384" s="549" t="s">
        <v>521</v>
      </c>
      <c r="G384" s="549" t="s">
        <v>521</v>
      </c>
      <c r="H384" s="549" t="s">
        <v>521</v>
      </c>
      <c r="I384" s="549" t="s">
        <v>521</v>
      </c>
      <c r="J384" s="549" t="s">
        <v>521</v>
      </c>
      <c r="K384" s="549" t="s">
        <v>521</v>
      </c>
      <c r="L384" s="549" t="s">
        <v>521</v>
      </c>
      <c r="O384" s="304" t="s">
        <v>89</v>
      </c>
    </row>
    <row r="385" spans="3:15" x14ac:dyDescent="0.25">
      <c r="C385" s="823">
        <v>38</v>
      </c>
      <c r="D385" s="558">
        <f t="shared" si="17"/>
        <v>0</v>
      </c>
      <c r="E385" s="155" t="s">
        <v>89</v>
      </c>
      <c r="F385" s="549" t="s">
        <v>521</v>
      </c>
      <c r="G385" s="549" t="s">
        <v>521</v>
      </c>
      <c r="H385" s="549" t="s">
        <v>521</v>
      </c>
      <c r="I385" s="549" t="s">
        <v>521</v>
      </c>
      <c r="J385" s="549" t="s">
        <v>521</v>
      </c>
      <c r="K385" s="549" t="s">
        <v>521</v>
      </c>
      <c r="L385" s="549" t="s">
        <v>521</v>
      </c>
      <c r="O385" s="304" t="s">
        <v>89</v>
      </c>
    </row>
    <row r="386" spans="3:15" x14ac:dyDescent="0.25">
      <c r="C386" s="823">
        <v>39</v>
      </c>
      <c r="D386" s="558">
        <f t="shared" si="17"/>
        <v>0</v>
      </c>
      <c r="E386" s="155" t="s">
        <v>89</v>
      </c>
      <c r="F386" s="549" t="s">
        <v>521</v>
      </c>
      <c r="G386" s="549" t="s">
        <v>521</v>
      </c>
      <c r="H386" s="549" t="s">
        <v>521</v>
      </c>
      <c r="I386" s="549" t="s">
        <v>521</v>
      </c>
      <c r="J386" s="549" t="s">
        <v>521</v>
      </c>
      <c r="K386" s="549" t="s">
        <v>521</v>
      </c>
      <c r="L386" s="549" t="s">
        <v>521</v>
      </c>
      <c r="O386" s="304" t="s">
        <v>89</v>
      </c>
    </row>
    <row r="387" spans="3:15" x14ac:dyDescent="0.25">
      <c r="C387" s="823">
        <v>40</v>
      </c>
      <c r="D387" s="558">
        <f t="shared" si="17"/>
        <v>0</v>
      </c>
      <c r="E387" s="155" t="s">
        <v>89</v>
      </c>
      <c r="F387" s="549" t="s">
        <v>521</v>
      </c>
      <c r="G387" s="549" t="s">
        <v>521</v>
      </c>
      <c r="H387" s="549" t="s">
        <v>521</v>
      </c>
      <c r="I387" s="549" t="s">
        <v>521</v>
      </c>
      <c r="J387" s="549" t="s">
        <v>521</v>
      </c>
      <c r="K387" s="549" t="s">
        <v>521</v>
      </c>
      <c r="L387" s="549" t="s">
        <v>521</v>
      </c>
      <c r="O387" s="304" t="s">
        <v>89</v>
      </c>
    </row>
    <row r="388" spans="3:15" x14ac:dyDescent="0.25">
      <c r="C388" s="823">
        <v>41</v>
      </c>
      <c r="D388" s="558">
        <f t="shared" si="17"/>
        <v>0</v>
      </c>
      <c r="E388" s="155" t="s">
        <v>89</v>
      </c>
      <c r="F388" s="549" t="s">
        <v>521</v>
      </c>
      <c r="G388" s="549" t="s">
        <v>521</v>
      </c>
      <c r="H388" s="549" t="s">
        <v>521</v>
      </c>
      <c r="I388" s="549" t="s">
        <v>521</v>
      </c>
      <c r="J388" s="549" t="s">
        <v>521</v>
      </c>
      <c r="K388" s="549" t="s">
        <v>521</v>
      </c>
      <c r="L388" s="549" t="s">
        <v>521</v>
      </c>
      <c r="O388" s="304" t="s">
        <v>89</v>
      </c>
    </row>
    <row r="389" spans="3:15" x14ac:dyDescent="0.25">
      <c r="C389" s="823">
        <v>42</v>
      </c>
      <c r="D389" s="558">
        <f t="shared" si="17"/>
        <v>0</v>
      </c>
      <c r="E389" s="155" t="s">
        <v>89</v>
      </c>
      <c r="F389" s="549" t="s">
        <v>521</v>
      </c>
      <c r="G389" s="549" t="s">
        <v>521</v>
      </c>
      <c r="H389" s="549" t="s">
        <v>521</v>
      </c>
      <c r="I389" s="549" t="s">
        <v>521</v>
      </c>
      <c r="J389" s="549" t="s">
        <v>521</v>
      </c>
      <c r="K389" s="549" t="s">
        <v>521</v>
      </c>
      <c r="L389" s="549" t="s">
        <v>521</v>
      </c>
      <c r="O389" s="304" t="s">
        <v>89</v>
      </c>
    </row>
    <row r="390" spans="3:15" x14ac:dyDescent="0.25">
      <c r="C390" s="823">
        <v>43</v>
      </c>
      <c r="D390" s="558">
        <f t="shared" si="17"/>
        <v>0</v>
      </c>
      <c r="E390" s="155" t="s">
        <v>89</v>
      </c>
      <c r="F390" s="549" t="s">
        <v>521</v>
      </c>
      <c r="G390" s="549" t="s">
        <v>521</v>
      </c>
      <c r="H390" s="549" t="s">
        <v>521</v>
      </c>
      <c r="I390" s="549" t="s">
        <v>521</v>
      </c>
      <c r="J390" s="549" t="s">
        <v>521</v>
      </c>
      <c r="K390" s="549" t="s">
        <v>521</v>
      </c>
      <c r="L390" s="549" t="s">
        <v>521</v>
      </c>
      <c r="O390" s="304" t="s">
        <v>89</v>
      </c>
    </row>
    <row r="391" spans="3:15" x14ac:dyDescent="0.25">
      <c r="C391" s="823">
        <v>44</v>
      </c>
      <c r="D391" s="558">
        <f t="shared" si="17"/>
        <v>0</v>
      </c>
      <c r="E391" s="155" t="s">
        <v>89</v>
      </c>
      <c r="F391" s="549" t="s">
        <v>521</v>
      </c>
      <c r="G391" s="549" t="s">
        <v>521</v>
      </c>
      <c r="H391" s="549" t="s">
        <v>521</v>
      </c>
      <c r="I391" s="549" t="s">
        <v>521</v>
      </c>
      <c r="J391" s="549" t="s">
        <v>521</v>
      </c>
      <c r="K391" s="549" t="s">
        <v>521</v>
      </c>
      <c r="L391" s="549" t="s">
        <v>521</v>
      </c>
      <c r="O391" s="304" t="s">
        <v>89</v>
      </c>
    </row>
    <row r="392" spans="3:15" x14ac:dyDescent="0.25">
      <c r="C392" s="823">
        <v>45</v>
      </c>
      <c r="D392" s="558">
        <f t="shared" si="17"/>
        <v>0</v>
      </c>
      <c r="E392" s="155" t="s">
        <v>89</v>
      </c>
      <c r="F392" s="549" t="s">
        <v>521</v>
      </c>
      <c r="G392" s="549" t="s">
        <v>521</v>
      </c>
      <c r="H392" s="549" t="s">
        <v>521</v>
      </c>
      <c r="I392" s="549" t="s">
        <v>521</v>
      </c>
      <c r="J392" s="549" t="s">
        <v>521</v>
      </c>
      <c r="K392" s="549" t="s">
        <v>521</v>
      </c>
      <c r="L392" s="549" t="s">
        <v>521</v>
      </c>
      <c r="O392" s="304" t="s">
        <v>89</v>
      </c>
    </row>
    <row r="393" spans="3:15" x14ac:dyDescent="0.25">
      <c r="C393" s="823">
        <v>46</v>
      </c>
      <c r="D393" s="558">
        <f t="shared" si="17"/>
        <v>0</v>
      </c>
      <c r="E393" s="155" t="s">
        <v>89</v>
      </c>
      <c r="F393" s="549" t="s">
        <v>521</v>
      </c>
      <c r="G393" s="549" t="s">
        <v>521</v>
      </c>
      <c r="H393" s="549" t="s">
        <v>521</v>
      </c>
      <c r="I393" s="549" t="s">
        <v>521</v>
      </c>
      <c r="J393" s="549" t="s">
        <v>521</v>
      </c>
      <c r="K393" s="549" t="s">
        <v>521</v>
      </c>
      <c r="L393" s="549" t="s">
        <v>521</v>
      </c>
      <c r="O393" s="304" t="s">
        <v>89</v>
      </c>
    </row>
    <row r="394" spans="3:15" x14ac:dyDescent="0.25">
      <c r="C394" s="823">
        <v>47</v>
      </c>
      <c r="D394" s="558">
        <f t="shared" si="17"/>
        <v>0</v>
      </c>
      <c r="E394" s="155" t="s">
        <v>89</v>
      </c>
      <c r="F394" s="549" t="s">
        <v>521</v>
      </c>
      <c r="G394" s="549" t="s">
        <v>521</v>
      </c>
      <c r="H394" s="549" t="s">
        <v>521</v>
      </c>
      <c r="I394" s="549" t="s">
        <v>521</v>
      </c>
      <c r="J394" s="549" t="s">
        <v>521</v>
      </c>
      <c r="K394" s="549" t="s">
        <v>521</v>
      </c>
      <c r="L394" s="549" t="s">
        <v>521</v>
      </c>
      <c r="O394" s="304" t="s">
        <v>89</v>
      </c>
    </row>
    <row r="395" spans="3:15" x14ac:dyDescent="0.25">
      <c r="C395" s="823">
        <v>48</v>
      </c>
      <c r="D395" s="558">
        <f t="shared" si="17"/>
        <v>0</v>
      </c>
      <c r="E395" s="155" t="s">
        <v>89</v>
      </c>
      <c r="F395" s="549" t="s">
        <v>521</v>
      </c>
      <c r="G395" s="549" t="s">
        <v>521</v>
      </c>
      <c r="H395" s="549" t="s">
        <v>521</v>
      </c>
      <c r="I395" s="549" t="s">
        <v>521</v>
      </c>
      <c r="J395" s="549" t="s">
        <v>521</v>
      </c>
      <c r="K395" s="549" t="s">
        <v>521</v>
      </c>
      <c r="L395" s="549" t="s">
        <v>521</v>
      </c>
      <c r="O395" s="304" t="s">
        <v>89</v>
      </c>
    </row>
    <row r="396" spans="3:15" x14ac:dyDescent="0.25">
      <c r="C396" s="823">
        <v>49</v>
      </c>
      <c r="D396" s="558">
        <f t="shared" si="17"/>
        <v>0</v>
      </c>
      <c r="E396" s="155" t="s">
        <v>89</v>
      </c>
      <c r="F396" s="549" t="s">
        <v>521</v>
      </c>
      <c r="G396" s="549" t="s">
        <v>521</v>
      </c>
      <c r="H396" s="549" t="s">
        <v>521</v>
      </c>
      <c r="I396" s="549" t="s">
        <v>521</v>
      </c>
      <c r="J396" s="549" t="s">
        <v>521</v>
      </c>
      <c r="K396" s="549" t="s">
        <v>521</v>
      </c>
      <c r="L396" s="549" t="s">
        <v>521</v>
      </c>
      <c r="O396" s="304" t="s">
        <v>89</v>
      </c>
    </row>
    <row r="397" spans="3:15" x14ac:dyDescent="0.25">
      <c r="C397" s="823">
        <v>50</v>
      </c>
      <c r="D397" s="558">
        <f t="shared" si="17"/>
        <v>0</v>
      </c>
      <c r="E397" s="155" t="s">
        <v>89</v>
      </c>
      <c r="F397" s="549" t="s">
        <v>521</v>
      </c>
      <c r="G397" s="549" t="s">
        <v>521</v>
      </c>
      <c r="H397" s="549" t="s">
        <v>521</v>
      </c>
      <c r="I397" s="549" t="s">
        <v>521</v>
      </c>
      <c r="J397" s="549" t="s">
        <v>521</v>
      </c>
      <c r="K397" s="549" t="s">
        <v>521</v>
      </c>
      <c r="L397" s="549" t="s">
        <v>521</v>
      </c>
      <c r="O397" s="304" t="s">
        <v>89</v>
      </c>
    </row>
    <row r="398" spans="3:15" x14ac:dyDescent="0.25">
      <c r="C398" s="823">
        <v>51</v>
      </c>
      <c r="D398" s="558">
        <f t="shared" si="17"/>
        <v>0</v>
      </c>
      <c r="E398" s="155" t="s">
        <v>89</v>
      </c>
      <c r="F398" s="549" t="s">
        <v>521</v>
      </c>
      <c r="G398" s="549" t="s">
        <v>521</v>
      </c>
      <c r="H398" s="549" t="s">
        <v>521</v>
      </c>
      <c r="I398" s="549" t="s">
        <v>521</v>
      </c>
      <c r="J398" s="549" t="s">
        <v>521</v>
      </c>
      <c r="K398" s="549" t="s">
        <v>521</v>
      </c>
      <c r="L398" s="549" t="s">
        <v>521</v>
      </c>
      <c r="O398" s="304" t="s">
        <v>89</v>
      </c>
    </row>
    <row r="399" spans="3:15" x14ac:dyDescent="0.25">
      <c r="C399" s="823">
        <v>52</v>
      </c>
      <c r="D399" s="558">
        <f t="shared" si="17"/>
        <v>0</v>
      </c>
      <c r="E399" s="155" t="s">
        <v>89</v>
      </c>
      <c r="F399" s="549" t="s">
        <v>521</v>
      </c>
      <c r="G399" s="549" t="s">
        <v>521</v>
      </c>
      <c r="H399" s="549" t="s">
        <v>521</v>
      </c>
      <c r="I399" s="549" t="s">
        <v>521</v>
      </c>
      <c r="J399" s="549" t="s">
        <v>521</v>
      </c>
      <c r="K399" s="549" t="s">
        <v>521</v>
      </c>
      <c r="L399" s="549" t="s">
        <v>521</v>
      </c>
      <c r="O399" s="304" t="s">
        <v>89</v>
      </c>
    </row>
    <row r="400" spans="3:15" x14ac:dyDescent="0.25">
      <c r="C400" s="823">
        <v>53</v>
      </c>
      <c r="D400" s="558">
        <f t="shared" si="17"/>
        <v>0</v>
      </c>
      <c r="E400" s="155" t="s">
        <v>89</v>
      </c>
      <c r="F400" s="549" t="s">
        <v>521</v>
      </c>
      <c r="G400" s="549" t="s">
        <v>521</v>
      </c>
      <c r="H400" s="549" t="s">
        <v>521</v>
      </c>
      <c r="I400" s="549" t="s">
        <v>521</v>
      </c>
      <c r="J400" s="549" t="s">
        <v>521</v>
      </c>
      <c r="K400" s="549" t="s">
        <v>521</v>
      </c>
      <c r="L400" s="549" t="s">
        <v>521</v>
      </c>
      <c r="O400" s="304" t="s">
        <v>89</v>
      </c>
    </row>
    <row r="401" spans="3:15" x14ac:dyDescent="0.25">
      <c r="C401" s="823">
        <v>54</v>
      </c>
      <c r="D401" s="558">
        <f t="shared" si="17"/>
        <v>0</v>
      </c>
      <c r="E401" s="155" t="s">
        <v>89</v>
      </c>
      <c r="F401" s="549" t="s">
        <v>521</v>
      </c>
      <c r="G401" s="549" t="s">
        <v>521</v>
      </c>
      <c r="H401" s="549" t="s">
        <v>521</v>
      </c>
      <c r="I401" s="549" t="s">
        <v>521</v>
      </c>
      <c r="J401" s="549" t="s">
        <v>521</v>
      </c>
      <c r="K401" s="549" t="s">
        <v>521</v>
      </c>
      <c r="L401" s="549" t="s">
        <v>521</v>
      </c>
      <c r="O401" s="304" t="s">
        <v>89</v>
      </c>
    </row>
    <row r="402" spans="3:15" x14ac:dyDescent="0.25">
      <c r="C402" s="823">
        <v>55</v>
      </c>
      <c r="D402" s="558">
        <f t="shared" si="17"/>
        <v>0</v>
      </c>
      <c r="E402" s="155" t="s">
        <v>89</v>
      </c>
      <c r="F402" s="549" t="s">
        <v>521</v>
      </c>
      <c r="G402" s="549" t="s">
        <v>521</v>
      </c>
      <c r="H402" s="549" t="s">
        <v>521</v>
      </c>
      <c r="I402" s="549" t="s">
        <v>521</v>
      </c>
      <c r="J402" s="549" t="s">
        <v>521</v>
      </c>
      <c r="K402" s="549" t="s">
        <v>521</v>
      </c>
      <c r="L402" s="549" t="s">
        <v>521</v>
      </c>
      <c r="O402" s="304" t="s">
        <v>89</v>
      </c>
    </row>
    <row r="403" spans="3:15" x14ac:dyDescent="0.25">
      <c r="C403" s="823">
        <v>56</v>
      </c>
      <c r="D403" s="558">
        <f t="shared" si="17"/>
        <v>0</v>
      </c>
      <c r="E403" s="155" t="s">
        <v>89</v>
      </c>
      <c r="F403" s="549" t="s">
        <v>521</v>
      </c>
      <c r="G403" s="549" t="s">
        <v>521</v>
      </c>
      <c r="H403" s="549" t="s">
        <v>521</v>
      </c>
      <c r="I403" s="549" t="s">
        <v>521</v>
      </c>
      <c r="J403" s="549" t="s">
        <v>521</v>
      </c>
      <c r="K403" s="549" t="s">
        <v>521</v>
      </c>
      <c r="L403" s="549" t="s">
        <v>521</v>
      </c>
      <c r="O403" s="304" t="s">
        <v>89</v>
      </c>
    </row>
    <row r="404" spans="3:15" x14ac:dyDescent="0.25">
      <c r="C404" s="823">
        <v>57</v>
      </c>
      <c r="D404" s="558">
        <f t="shared" si="17"/>
        <v>0</v>
      </c>
      <c r="E404" s="155" t="s">
        <v>89</v>
      </c>
      <c r="F404" s="549" t="s">
        <v>521</v>
      </c>
      <c r="G404" s="549" t="s">
        <v>521</v>
      </c>
      <c r="H404" s="549" t="s">
        <v>521</v>
      </c>
      <c r="I404" s="549" t="s">
        <v>521</v>
      </c>
      <c r="J404" s="549" t="s">
        <v>521</v>
      </c>
      <c r="K404" s="549" t="s">
        <v>521</v>
      </c>
      <c r="L404" s="549" t="s">
        <v>521</v>
      </c>
      <c r="O404" s="304" t="s">
        <v>89</v>
      </c>
    </row>
    <row r="405" spans="3:15" x14ac:dyDescent="0.25">
      <c r="C405" s="823">
        <v>58</v>
      </c>
      <c r="D405" s="558">
        <f t="shared" si="17"/>
        <v>0</v>
      </c>
      <c r="E405" s="155" t="s">
        <v>89</v>
      </c>
      <c r="F405" s="549" t="s">
        <v>521</v>
      </c>
      <c r="G405" s="549" t="s">
        <v>521</v>
      </c>
      <c r="H405" s="549" t="s">
        <v>521</v>
      </c>
      <c r="I405" s="549" t="s">
        <v>521</v>
      </c>
      <c r="J405" s="549" t="s">
        <v>521</v>
      </c>
      <c r="K405" s="549" t="s">
        <v>521</v>
      </c>
      <c r="L405" s="549" t="s">
        <v>521</v>
      </c>
      <c r="O405" s="304" t="s">
        <v>89</v>
      </c>
    </row>
    <row r="406" spans="3:15" x14ac:dyDescent="0.25">
      <c r="C406" s="823">
        <v>59</v>
      </c>
      <c r="D406" s="558">
        <f t="shared" si="17"/>
        <v>0</v>
      </c>
      <c r="E406" s="155" t="s">
        <v>89</v>
      </c>
      <c r="F406" s="549" t="s">
        <v>521</v>
      </c>
      <c r="G406" s="549" t="s">
        <v>521</v>
      </c>
      <c r="H406" s="549" t="s">
        <v>521</v>
      </c>
      <c r="I406" s="549" t="s">
        <v>521</v>
      </c>
      <c r="J406" s="549" t="s">
        <v>521</v>
      </c>
      <c r="K406" s="549" t="s">
        <v>521</v>
      </c>
      <c r="L406" s="549" t="s">
        <v>521</v>
      </c>
      <c r="O406" s="304" t="s">
        <v>89</v>
      </c>
    </row>
    <row r="407" spans="3:15" x14ac:dyDescent="0.25">
      <c r="C407" s="823">
        <v>60</v>
      </c>
      <c r="D407" s="558">
        <f t="shared" si="17"/>
        <v>0</v>
      </c>
      <c r="E407" s="155" t="s">
        <v>89</v>
      </c>
      <c r="F407" s="549" t="s">
        <v>521</v>
      </c>
      <c r="G407" s="549" t="s">
        <v>521</v>
      </c>
      <c r="H407" s="549" t="s">
        <v>521</v>
      </c>
      <c r="I407" s="549" t="s">
        <v>521</v>
      </c>
      <c r="J407" s="549" t="s">
        <v>521</v>
      </c>
      <c r="K407" s="549" t="s">
        <v>521</v>
      </c>
      <c r="L407" s="549" t="s">
        <v>521</v>
      </c>
      <c r="O407" s="304" t="s">
        <v>89</v>
      </c>
    </row>
    <row r="408" spans="3:15" x14ac:dyDescent="0.25">
      <c r="C408" s="823">
        <v>61</v>
      </c>
      <c r="D408" s="558">
        <f t="shared" si="17"/>
        <v>0</v>
      </c>
      <c r="E408" s="155" t="s">
        <v>89</v>
      </c>
      <c r="F408" s="549" t="s">
        <v>521</v>
      </c>
      <c r="G408" s="549" t="s">
        <v>521</v>
      </c>
      <c r="H408" s="549" t="s">
        <v>521</v>
      </c>
      <c r="I408" s="549" t="s">
        <v>521</v>
      </c>
      <c r="J408" s="549" t="s">
        <v>521</v>
      </c>
      <c r="K408" s="549" t="s">
        <v>521</v>
      </c>
      <c r="L408" s="549" t="s">
        <v>521</v>
      </c>
      <c r="O408" s="304" t="s">
        <v>89</v>
      </c>
    </row>
    <row r="409" spans="3:15" x14ac:dyDescent="0.25">
      <c r="C409" s="823">
        <v>62</v>
      </c>
      <c r="D409" s="558">
        <f t="shared" si="17"/>
        <v>0</v>
      </c>
      <c r="E409" s="155" t="s">
        <v>89</v>
      </c>
      <c r="F409" s="549" t="s">
        <v>521</v>
      </c>
      <c r="G409" s="549" t="s">
        <v>521</v>
      </c>
      <c r="H409" s="549" t="s">
        <v>521</v>
      </c>
      <c r="I409" s="549" t="s">
        <v>521</v>
      </c>
      <c r="J409" s="549" t="s">
        <v>521</v>
      </c>
      <c r="K409" s="549" t="s">
        <v>521</v>
      </c>
      <c r="L409" s="549" t="s">
        <v>521</v>
      </c>
      <c r="O409" s="304" t="s">
        <v>89</v>
      </c>
    </row>
    <row r="410" spans="3:15" x14ac:dyDescent="0.25">
      <c r="C410" s="823">
        <v>63</v>
      </c>
      <c r="D410" s="558">
        <f t="shared" si="17"/>
        <v>0</v>
      </c>
      <c r="E410" s="155" t="s">
        <v>89</v>
      </c>
      <c r="F410" s="549" t="s">
        <v>521</v>
      </c>
      <c r="G410" s="549" t="s">
        <v>521</v>
      </c>
      <c r="H410" s="549" t="s">
        <v>521</v>
      </c>
      <c r="I410" s="549" t="s">
        <v>521</v>
      </c>
      <c r="J410" s="549" t="s">
        <v>521</v>
      </c>
      <c r="K410" s="549" t="s">
        <v>521</v>
      </c>
      <c r="L410" s="549" t="s">
        <v>521</v>
      </c>
      <c r="O410" s="304" t="s">
        <v>89</v>
      </c>
    </row>
    <row r="411" spans="3:15" x14ac:dyDescent="0.25">
      <c r="C411" s="823">
        <v>64</v>
      </c>
      <c r="D411" s="558">
        <f t="shared" si="17"/>
        <v>0</v>
      </c>
      <c r="E411" s="155" t="s">
        <v>89</v>
      </c>
      <c r="F411" s="549" t="s">
        <v>521</v>
      </c>
      <c r="G411" s="549" t="s">
        <v>521</v>
      </c>
      <c r="H411" s="549" t="s">
        <v>521</v>
      </c>
      <c r="I411" s="549" t="s">
        <v>521</v>
      </c>
      <c r="J411" s="549" t="s">
        <v>521</v>
      </c>
      <c r="K411" s="549" t="s">
        <v>521</v>
      </c>
      <c r="L411" s="549" t="s">
        <v>521</v>
      </c>
      <c r="O411" s="304" t="s">
        <v>89</v>
      </c>
    </row>
    <row r="412" spans="3:15" x14ac:dyDescent="0.25">
      <c r="C412" s="823">
        <v>65</v>
      </c>
      <c r="D412" s="558">
        <f t="shared" si="17"/>
        <v>0</v>
      </c>
      <c r="E412" s="155" t="s">
        <v>89</v>
      </c>
      <c r="F412" s="549" t="s">
        <v>521</v>
      </c>
      <c r="G412" s="549" t="s">
        <v>521</v>
      </c>
      <c r="H412" s="549" t="s">
        <v>521</v>
      </c>
      <c r="I412" s="549" t="s">
        <v>521</v>
      </c>
      <c r="J412" s="549" t="s">
        <v>521</v>
      </c>
      <c r="K412" s="549" t="s">
        <v>521</v>
      </c>
      <c r="L412" s="549" t="s">
        <v>521</v>
      </c>
      <c r="O412" s="304" t="s">
        <v>89</v>
      </c>
    </row>
    <row r="413" spans="3:15" x14ac:dyDescent="0.25">
      <c r="C413" s="823">
        <v>66</v>
      </c>
      <c r="D413" s="558">
        <f t="shared" ref="D413:D437" si="18">SUM(F413:K413)</f>
        <v>0</v>
      </c>
      <c r="E413" s="155" t="s">
        <v>89</v>
      </c>
      <c r="F413" s="549" t="s">
        <v>521</v>
      </c>
      <c r="G413" s="549" t="s">
        <v>521</v>
      </c>
      <c r="H413" s="549" t="s">
        <v>521</v>
      </c>
      <c r="I413" s="549" t="s">
        <v>521</v>
      </c>
      <c r="J413" s="549" t="s">
        <v>521</v>
      </c>
      <c r="K413" s="549" t="s">
        <v>521</v>
      </c>
      <c r="L413" s="549" t="s">
        <v>521</v>
      </c>
      <c r="O413" s="304" t="s">
        <v>89</v>
      </c>
    </row>
    <row r="414" spans="3:15" x14ac:dyDescent="0.25">
      <c r="C414" s="823">
        <v>67</v>
      </c>
      <c r="D414" s="558">
        <f t="shared" si="18"/>
        <v>0</v>
      </c>
      <c r="E414" s="155" t="s">
        <v>89</v>
      </c>
      <c r="F414" s="549" t="s">
        <v>521</v>
      </c>
      <c r="G414" s="549" t="s">
        <v>521</v>
      </c>
      <c r="H414" s="549" t="s">
        <v>521</v>
      </c>
      <c r="I414" s="549" t="s">
        <v>521</v>
      </c>
      <c r="J414" s="549" t="s">
        <v>521</v>
      </c>
      <c r="K414" s="549" t="s">
        <v>521</v>
      </c>
      <c r="L414" s="549" t="s">
        <v>521</v>
      </c>
      <c r="O414" s="304" t="s">
        <v>89</v>
      </c>
    </row>
    <row r="415" spans="3:15" x14ac:dyDescent="0.25">
      <c r="C415" s="823">
        <v>68</v>
      </c>
      <c r="D415" s="558">
        <f t="shared" si="18"/>
        <v>0</v>
      </c>
      <c r="E415" s="155" t="s">
        <v>89</v>
      </c>
      <c r="F415" s="549" t="s">
        <v>521</v>
      </c>
      <c r="G415" s="549" t="s">
        <v>521</v>
      </c>
      <c r="H415" s="549" t="s">
        <v>521</v>
      </c>
      <c r="I415" s="549" t="s">
        <v>521</v>
      </c>
      <c r="J415" s="549" t="s">
        <v>521</v>
      </c>
      <c r="K415" s="549" t="s">
        <v>521</v>
      </c>
      <c r="L415" s="549" t="s">
        <v>521</v>
      </c>
      <c r="O415" s="304" t="s">
        <v>89</v>
      </c>
    </row>
    <row r="416" spans="3:15" x14ac:dyDescent="0.25">
      <c r="C416" s="823">
        <v>69</v>
      </c>
      <c r="D416" s="558">
        <f t="shared" si="18"/>
        <v>0</v>
      </c>
      <c r="E416" s="155" t="s">
        <v>89</v>
      </c>
      <c r="F416" s="549" t="s">
        <v>521</v>
      </c>
      <c r="G416" s="549" t="s">
        <v>521</v>
      </c>
      <c r="H416" s="549" t="s">
        <v>521</v>
      </c>
      <c r="I416" s="549" t="s">
        <v>521</v>
      </c>
      <c r="J416" s="549" t="s">
        <v>521</v>
      </c>
      <c r="K416" s="549" t="s">
        <v>521</v>
      </c>
      <c r="L416" s="549" t="s">
        <v>521</v>
      </c>
      <c r="O416" s="304" t="s">
        <v>89</v>
      </c>
    </row>
    <row r="417" spans="3:15" x14ac:dyDescent="0.25">
      <c r="C417" s="823">
        <v>70</v>
      </c>
      <c r="D417" s="558">
        <f t="shared" si="18"/>
        <v>0</v>
      </c>
      <c r="E417" s="155" t="s">
        <v>89</v>
      </c>
      <c r="F417" s="549" t="s">
        <v>521</v>
      </c>
      <c r="G417" s="549" t="s">
        <v>521</v>
      </c>
      <c r="H417" s="549" t="s">
        <v>521</v>
      </c>
      <c r="I417" s="549" t="s">
        <v>521</v>
      </c>
      <c r="J417" s="549" t="s">
        <v>521</v>
      </c>
      <c r="K417" s="549" t="s">
        <v>521</v>
      </c>
      <c r="L417" s="549" t="s">
        <v>521</v>
      </c>
      <c r="O417" s="304" t="s">
        <v>89</v>
      </c>
    </row>
    <row r="418" spans="3:15" x14ac:dyDescent="0.25">
      <c r="C418" s="823">
        <v>71</v>
      </c>
      <c r="D418" s="558">
        <f t="shared" si="18"/>
        <v>0</v>
      </c>
      <c r="E418" s="155" t="s">
        <v>89</v>
      </c>
      <c r="F418" s="549" t="s">
        <v>521</v>
      </c>
      <c r="G418" s="549" t="s">
        <v>521</v>
      </c>
      <c r="H418" s="549" t="s">
        <v>521</v>
      </c>
      <c r="I418" s="549" t="s">
        <v>521</v>
      </c>
      <c r="J418" s="549" t="s">
        <v>521</v>
      </c>
      <c r="K418" s="549" t="s">
        <v>521</v>
      </c>
      <c r="L418" s="549" t="s">
        <v>521</v>
      </c>
      <c r="O418" s="304" t="s">
        <v>89</v>
      </c>
    </row>
    <row r="419" spans="3:15" x14ac:dyDescent="0.25">
      <c r="C419" s="823">
        <v>72</v>
      </c>
      <c r="D419" s="558">
        <f t="shared" si="18"/>
        <v>0</v>
      </c>
      <c r="E419" s="155" t="s">
        <v>89</v>
      </c>
      <c r="F419" s="549" t="s">
        <v>521</v>
      </c>
      <c r="G419" s="549" t="s">
        <v>521</v>
      </c>
      <c r="H419" s="549" t="s">
        <v>521</v>
      </c>
      <c r="I419" s="549" t="s">
        <v>521</v>
      </c>
      <c r="J419" s="549" t="s">
        <v>521</v>
      </c>
      <c r="K419" s="549" t="s">
        <v>521</v>
      </c>
      <c r="L419" s="549" t="s">
        <v>521</v>
      </c>
      <c r="O419" s="304" t="s">
        <v>89</v>
      </c>
    </row>
    <row r="420" spans="3:15" x14ac:dyDescent="0.25">
      <c r="C420" s="823">
        <v>73</v>
      </c>
      <c r="D420" s="558">
        <f t="shared" si="18"/>
        <v>0</v>
      </c>
      <c r="E420" s="155" t="s">
        <v>89</v>
      </c>
      <c r="F420" s="549" t="s">
        <v>521</v>
      </c>
      <c r="G420" s="549" t="s">
        <v>521</v>
      </c>
      <c r="H420" s="549" t="s">
        <v>521</v>
      </c>
      <c r="I420" s="549" t="s">
        <v>521</v>
      </c>
      <c r="J420" s="549" t="s">
        <v>521</v>
      </c>
      <c r="K420" s="549" t="s">
        <v>521</v>
      </c>
      <c r="L420" s="549" t="s">
        <v>521</v>
      </c>
      <c r="O420" s="304" t="s">
        <v>89</v>
      </c>
    </row>
    <row r="421" spans="3:15" x14ac:dyDescent="0.25">
      <c r="C421" s="823">
        <v>74</v>
      </c>
      <c r="D421" s="558">
        <f t="shared" si="18"/>
        <v>0</v>
      </c>
      <c r="E421" s="155" t="s">
        <v>89</v>
      </c>
      <c r="F421" s="549" t="s">
        <v>521</v>
      </c>
      <c r="G421" s="549" t="s">
        <v>521</v>
      </c>
      <c r="H421" s="549" t="s">
        <v>521</v>
      </c>
      <c r="I421" s="549" t="s">
        <v>521</v>
      </c>
      <c r="J421" s="549" t="s">
        <v>521</v>
      </c>
      <c r="K421" s="549" t="s">
        <v>521</v>
      </c>
      <c r="L421" s="549" t="s">
        <v>521</v>
      </c>
      <c r="O421" s="304" t="s">
        <v>89</v>
      </c>
    </row>
    <row r="422" spans="3:15" x14ac:dyDescent="0.25">
      <c r="C422" s="823">
        <v>75</v>
      </c>
      <c r="D422" s="558">
        <f t="shared" si="18"/>
        <v>0</v>
      </c>
      <c r="E422" s="155" t="s">
        <v>89</v>
      </c>
      <c r="F422" s="549" t="s">
        <v>521</v>
      </c>
      <c r="G422" s="549" t="s">
        <v>521</v>
      </c>
      <c r="H422" s="549" t="s">
        <v>521</v>
      </c>
      <c r="I422" s="549" t="s">
        <v>521</v>
      </c>
      <c r="J422" s="549" t="s">
        <v>521</v>
      </c>
      <c r="K422" s="549" t="s">
        <v>521</v>
      </c>
      <c r="L422" s="549" t="s">
        <v>521</v>
      </c>
      <c r="O422" s="304" t="s">
        <v>89</v>
      </c>
    </row>
    <row r="423" spans="3:15" x14ac:dyDescent="0.25">
      <c r="C423" s="823">
        <v>76</v>
      </c>
      <c r="D423" s="558">
        <f t="shared" si="18"/>
        <v>0</v>
      </c>
      <c r="E423" s="155" t="s">
        <v>89</v>
      </c>
      <c r="F423" s="549" t="s">
        <v>521</v>
      </c>
      <c r="G423" s="549" t="s">
        <v>521</v>
      </c>
      <c r="H423" s="549" t="s">
        <v>521</v>
      </c>
      <c r="I423" s="549" t="s">
        <v>521</v>
      </c>
      <c r="J423" s="549" t="s">
        <v>521</v>
      </c>
      <c r="K423" s="549" t="s">
        <v>521</v>
      </c>
      <c r="L423" s="549" t="s">
        <v>521</v>
      </c>
      <c r="O423" s="304" t="s">
        <v>89</v>
      </c>
    </row>
    <row r="424" spans="3:15" x14ac:dyDescent="0.25">
      <c r="C424" s="823">
        <v>77</v>
      </c>
      <c r="D424" s="558">
        <f t="shared" si="18"/>
        <v>0</v>
      </c>
      <c r="E424" s="155" t="s">
        <v>89</v>
      </c>
      <c r="F424" s="549" t="s">
        <v>521</v>
      </c>
      <c r="G424" s="549" t="s">
        <v>521</v>
      </c>
      <c r="H424" s="549" t="s">
        <v>521</v>
      </c>
      <c r="I424" s="549" t="s">
        <v>521</v>
      </c>
      <c r="J424" s="549" t="s">
        <v>521</v>
      </c>
      <c r="K424" s="549" t="s">
        <v>521</v>
      </c>
      <c r="L424" s="549" t="s">
        <v>521</v>
      </c>
      <c r="O424" s="304" t="s">
        <v>89</v>
      </c>
    </row>
    <row r="425" spans="3:15" x14ac:dyDescent="0.25">
      <c r="C425" s="823">
        <v>78</v>
      </c>
      <c r="D425" s="558">
        <f t="shared" si="18"/>
        <v>0</v>
      </c>
      <c r="E425" s="155" t="s">
        <v>89</v>
      </c>
      <c r="F425" s="549" t="s">
        <v>521</v>
      </c>
      <c r="G425" s="549" t="s">
        <v>521</v>
      </c>
      <c r="H425" s="549" t="s">
        <v>521</v>
      </c>
      <c r="I425" s="549" t="s">
        <v>521</v>
      </c>
      <c r="J425" s="549" t="s">
        <v>521</v>
      </c>
      <c r="K425" s="549" t="s">
        <v>521</v>
      </c>
      <c r="L425" s="549" t="s">
        <v>521</v>
      </c>
      <c r="O425" s="304" t="s">
        <v>89</v>
      </c>
    </row>
    <row r="426" spans="3:15" x14ac:dyDescent="0.25">
      <c r="C426" s="823">
        <v>79</v>
      </c>
      <c r="D426" s="558">
        <f t="shared" si="18"/>
        <v>0</v>
      </c>
      <c r="E426" s="155" t="s">
        <v>89</v>
      </c>
      <c r="F426" s="549" t="s">
        <v>521</v>
      </c>
      <c r="G426" s="549" t="s">
        <v>521</v>
      </c>
      <c r="H426" s="549" t="s">
        <v>521</v>
      </c>
      <c r="I426" s="549" t="s">
        <v>521</v>
      </c>
      <c r="J426" s="549" t="s">
        <v>521</v>
      </c>
      <c r="K426" s="549" t="s">
        <v>521</v>
      </c>
      <c r="L426" s="549" t="s">
        <v>521</v>
      </c>
      <c r="O426" s="304" t="s">
        <v>89</v>
      </c>
    </row>
    <row r="427" spans="3:15" x14ac:dyDescent="0.25">
      <c r="C427" s="823">
        <v>80</v>
      </c>
      <c r="D427" s="558">
        <f t="shared" si="18"/>
        <v>0</v>
      </c>
      <c r="E427" s="155" t="s">
        <v>89</v>
      </c>
      <c r="F427" s="549" t="s">
        <v>521</v>
      </c>
      <c r="G427" s="549" t="s">
        <v>521</v>
      </c>
      <c r="H427" s="549" t="s">
        <v>521</v>
      </c>
      <c r="I427" s="549" t="s">
        <v>521</v>
      </c>
      <c r="J427" s="549" t="s">
        <v>521</v>
      </c>
      <c r="K427" s="549" t="s">
        <v>521</v>
      </c>
      <c r="L427" s="549" t="s">
        <v>521</v>
      </c>
      <c r="O427" s="304" t="s">
        <v>89</v>
      </c>
    </row>
    <row r="428" spans="3:15" x14ac:dyDescent="0.25">
      <c r="C428" s="823">
        <v>81</v>
      </c>
      <c r="D428" s="558">
        <f t="shared" si="18"/>
        <v>0</v>
      </c>
      <c r="E428" s="155" t="s">
        <v>89</v>
      </c>
      <c r="F428" s="549" t="s">
        <v>521</v>
      </c>
      <c r="G428" s="549" t="s">
        <v>521</v>
      </c>
      <c r="H428" s="549" t="s">
        <v>521</v>
      </c>
      <c r="I428" s="549" t="s">
        <v>521</v>
      </c>
      <c r="J428" s="549" t="s">
        <v>521</v>
      </c>
      <c r="K428" s="549" t="s">
        <v>521</v>
      </c>
      <c r="L428" s="549" t="s">
        <v>521</v>
      </c>
      <c r="O428" s="304" t="s">
        <v>89</v>
      </c>
    </row>
    <row r="429" spans="3:15" x14ac:dyDescent="0.25">
      <c r="C429" s="823">
        <v>82</v>
      </c>
      <c r="D429" s="558">
        <f t="shared" si="18"/>
        <v>0</v>
      </c>
      <c r="E429" s="155" t="s">
        <v>89</v>
      </c>
      <c r="F429" s="549" t="s">
        <v>521</v>
      </c>
      <c r="G429" s="549" t="s">
        <v>521</v>
      </c>
      <c r="H429" s="549" t="s">
        <v>521</v>
      </c>
      <c r="I429" s="549" t="s">
        <v>521</v>
      </c>
      <c r="J429" s="549" t="s">
        <v>521</v>
      </c>
      <c r="K429" s="549" t="s">
        <v>521</v>
      </c>
      <c r="L429" s="549" t="s">
        <v>521</v>
      </c>
      <c r="O429" s="304" t="s">
        <v>89</v>
      </c>
    </row>
    <row r="430" spans="3:15" x14ac:dyDescent="0.25">
      <c r="C430" s="823">
        <v>83</v>
      </c>
      <c r="D430" s="558">
        <f t="shared" si="18"/>
        <v>0</v>
      </c>
      <c r="E430" s="155" t="s">
        <v>89</v>
      </c>
      <c r="F430" s="549" t="s">
        <v>521</v>
      </c>
      <c r="G430" s="549" t="s">
        <v>521</v>
      </c>
      <c r="H430" s="549" t="s">
        <v>521</v>
      </c>
      <c r="I430" s="549" t="s">
        <v>521</v>
      </c>
      <c r="J430" s="549" t="s">
        <v>521</v>
      </c>
      <c r="K430" s="549" t="s">
        <v>521</v>
      </c>
      <c r="L430" s="549" t="s">
        <v>521</v>
      </c>
      <c r="O430" s="304" t="s">
        <v>89</v>
      </c>
    </row>
    <row r="431" spans="3:15" x14ac:dyDescent="0.25">
      <c r="C431" s="823">
        <v>84</v>
      </c>
      <c r="D431" s="558">
        <f t="shared" si="18"/>
        <v>0</v>
      </c>
      <c r="E431" s="155" t="s">
        <v>89</v>
      </c>
      <c r="F431" s="549" t="s">
        <v>521</v>
      </c>
      <c r="G431" s="549" t="s">
        <v>521</v>
      </c>
      <c r="H431" s="549" t="s">
        <v>521</v>
      </c>
      <c r="I431" s="549" t="s">
        <v>521</v>
      </c>
      <c r="J431" s="549" t="s">
        <v>521</v>
      </c>
      <c r="K431" s="549" t="s">
        <v>521</v>
      </c>
      <c r="L431" s="549" t="s">
        <v>521</v>
      </c>
      <c r="O431" s="304" t="s">
        <v>89</v>
      </c>
    </row>
    <row r="432" spans="3:15" x14ac:dyDescent="0.25">
      <c r="C432" s="823">
        <v>85</v>
      </c>
      <c r="D432" s="558">
        <f t="shared" si="18"/>
        <v>0</v>
      </c>
      <c r="E432" s="155" t="s">
        <v>89</v>
      </c>
      <c r="F432" s="549" t="s">
        <v>521</v>
      </c>
      <c r="G432" s="549" t="s">
        <v>521</v>
      </c>
      <c r="H432" s="549" t="s">
        <v>521</v>
      </c>
      <c r="I432" s="549" t="s">
        <v>521</v>
      </c>
      <c r="J432" s="549" t="s">
        <v>521</v>
      </c>
      <c r="K432" s="549" t="s">
        <v>521</v>
      </c>
      <c r="L432" s="549" t="s">
        <v>521</v>
      </c>
      <c r="O432" s="304" t="s">
        <v>89</v>
      </c>
    </row>
    <row r="433" spans="3:15" x14ac:dyDescent="0.25">
      <c r="C433" s="823">
        <v>86</v>
      </c>
      <c r="D433" s="558">
        <f t="shared" si="18"/>
        <v>0</v>
      </c>
      <c r="E433" s="155" t="s">
        <v>89</v>
      </c>
      <c r="F433" s="549" t="s">
        <v>521</v>
      </c>
      <c r="G433" s="549" t="s">
        <v>521</v>
      </c>
      <c r="H433" s="549" t="s">
        <v>521</v>
      </c>
      <c r="I433" s="549" t="s">
        <v>521</v>
      </c>
      <c r="J433" s="549" t="s">
        <v>521</v>
      </c>
      <c r="K433" s="549" t="s">
        <v>521</v>
      </c>
      <c r="L433" s="549" t="s">
        <v>521</v>
      </c>
      <c r="O433" s="304" t="s">
        <v>89</v>
      </c>
    </row>
    <row r="434" spans="3:15" x14ac:dyDescent="0.25">
      <c r="C434" s="823">
        <v>87</v>
      </c>
      <c r="D434" s="558">
        <f t="shared" si="18"/>
        <v>0</v>
      </c>
      <c r="E434" s="155" t="s">
        <v>89</v>
      </c>
      <c r="F434" s="549" t="s">
        <v>521</v>
      </c>
      <c r="G434" s="549" t="s">
        <v>521</v>
      </c>
      <c r="H434" s="549" t="s">
        <v>521</v>
      </c>
      <c r="I434" s="549" t="s">
        <v>521</v>
      </c>
      <c r="J434" s="549" t="s">
        <v>521</v>
      </c>
      <c r="K434" s="549" t="s">
        <v>521</v>
      </c>
      <c r="L434" s="549" t="s">
        <v>521</v>
      </c>
      <c r="O434" s="304" t="s">
        <v>89</v>
      </c>
    </row>
    <row r="435" spans="3:15" x14ac:dyDescent="0.25">
      <c r="C435" s="823">
        <v>88</v>
      </c>
      <c r="D435" s="558">
        <f t="shared" si="18"/>
        <v>0</v>
      </c>
      <c r="E435" s="155" t="s">
        <v>89</v>
      </c>
      <c r="F435" s="549" t="s">
        <v>521</v>
      </c>
      <c r="G435" s="549" t="s">
        <v>521</v>
      </c>
      <c r="H435" s="549" t="s">
        <v>521</v>
      </c>
      <c r="I435" s="549" t="s">
        <v>521</v>
      </c>
      <c r="J435" s="549" t="s">
        <v>521</v>
      </c>
      <c r="K435" s="549" t="s">
        <v>521</v>
      </c>
      <c r="L435" s="549" t="s">
        <v>521</v>
      </c>
      <c r="O435" s="304" t="s">
        <v>89</v>
      </c>
    </row>
    <row r="436" spans="3:15" x14ac:dyDescent="0.25">
      <c r="C436" s="823">
        <v>89</v>
      </c>
      <c r="D436" s="558">
        <f t="shared" si="18"/>
        <v>0</v>
      </c>
      <c r="E436" s="155" t="s">
        <v>89</v>
      </c>
      <c r="F436" s="549" t="s">
        <v>521</v>
      </c>
      <c r="G436" s="549" t="s">
        <v>521</v>
      </c>
      <c r="H436" s="549" t="s">
        <v>521</v>
      </c>
      <c r="I436" s="549" t="s">
        <v>521</v>
      </c>
      <c r="J436" s="549" t="s">
        <v>521</v>
      </c>
      <c r="K436" s="549" t="s">
        <v>521</v>
      </c>
      <c r="L436" s="549" t="s">
        <v>521</v>
      </c>
      <c r="O436" s="304" t="s">
        <v>89</v>
      </c>
    </row>
    <row r="437" spans="3:15" x14ac:dyDescent="0.25">
      <c r="C437" s="824" t="s">
        <v>509</v>
      </c>
      <c r="D437" s="559">
        <f t="shared" si="18"/>
        <v>0</v>
      </c>
      <c r="E437" s="161" t="s">
        <v>89</v>
      </c>
      <c r="F437" s="550" t="s">
        <v>521</v>
      </c>
      <c r="G437" s="550" t="s">
        <v>521</v>
      </c>
      <c r="H437" s="550" t="s">
        <v>521</v>
      </c>
      <c r="I437" s="550" t="s">
        <v>521</v>
      </c>
      <c r="J437" s="550" t="s">
        <v>521</v>
      </c>
      <c r="K437" s="550" t="s">
        <v>521</v>
      </c>
      <c r="L437" s="550" t="s">
        <v>521</v>
      </c>
      <c r="O437" s="304" t="s">
        <v>89</v>
      </c>
    </row>
    <row r="438" spans="3:15" x14ac:dyDescent="0.25">
      <c r="O438" s="304" t="s">
        <v>89</v>
      </c>
    </row>
    <row r="439" spans="3:15" x14ac:dyDescent="0.25">
      <c r="F439" s="241"/>
      <c r="G439" s="241"/>
      <c r="O439" s="304" t="s">
        <v>89</v>
      </c>
    </row>
    <row r="440" spans="3:15" x14ac:dyDescent="0.25">
      <c r="C440" s="181" t="s">
        <v>698</v>
      </c>
      <c r="D440" s="695" t="s">
        <v>514</v>
      </c>
      <c r="E440" s="157" t="s">
        <v>89</v>
      </c>
      <c r="F440" s="695" t="s">
        <v>658</v>
      </c>
      <c r="G440" s="695" t="s">
        <v>532</v>
      </c>
      <c r="H440" s="695" t="s">
        <v>659</v>
      </c>
      <c r="I440" s="695" t="s">
        <v>534</v>
      </c>
      <c r="O440" s="304" t="s">
        <v>89</v>
      </c>
    </row>
    <row r="441" spans="3:15" x14ac:dyDescent="0.25">
      <c r="C441" s="821" t="s">
        <v>707</v>
      </c>
      <c r="D441" s="451">
        <f>SUM(F441:I441)</f>
        <v>0</v>
      </c>
      <c r="E441" s="161" t="s">
        <v>89</v>
      </c>
      <c r="F441" s="451">
        <f>SUM(M16)</f>
        <v>0</v>
      </c>
      <c r="G441" s="451">
        <f>SUM(M13)</f>
        <v>0</v>
      </c>
      <c r="H441" s="451">
        <f>SUM(M14)</f>
        <v>0</v>
      </c>
      <c r="I441" s="885">
        <f>SUM(M15)</f>
        <v>0</v>
      </c>
      <c r="O441" s="304" t="s">
        <v>89</v>
      </c>
    </row>
    <row r="442" spans="3:15" ht="15.75" thickBot="1" x14ac:dyDescent="0.3">
      <c r="C442" s="241"/>
      <c r="D442" s="241"/>
      <c r="F442" s="241"/>
      <c r="G442" s="241"/>
      <c r="I442" s="241"/>
      <c r="O442" s="304" t="s">
        <v>89</v>
      </c>
    </row>
    <row r="443" spans="3:15" ht="15.75" thickBot="1" x14ac:dyDescent="0.3">
      <c r="C443" s="241"/>
      <c r="D443" s="241"/>
      <c r="F443" s="241"/>
      <c r="G443" s="241"/>
      <c r="I443" s="825" t="s">
        <v>534</v>
      </c>
      <c r="J443" s="826"/>
      <c r="K443" s="827"/>
      <c r="L443" s="825" t="s">
        <v>675</v>
      </c>
      <c r="M443" s="826"/>
      <c r="N443" s="827"/>
      <c r="O443" s="304" t="s">
        <v>89</v>
      </c>
    </row>
    <row r="444" spans="3:15" x14ac:dyDescent="0.25">
      <c r="C444" s="311" t="s">
        <v>41</v>
      </c>
      <c r="D444" s="695" t="s">
        <v>514</v>
      </c>
      <c r="E444" s="307" t="s">
        <v>89</v>
      </c>
      <c r="F444" s="695" t="s">
        <v>658</v>
      </c>
      <c r="G444" s="695" t="s">
        <v>532</v>
      </c>
      <c r="H444" s="695" t="s">
        <v>659</v>
      </c>
      <c r="I444" s="695" t="s">
        <v>514</v>
      </c>
      <c r="J444" s="695" t="s">
        <v>536</v>
      </c>
      <c r="K444" s="695" t="s">
        <v>660</v>
      </c>
      <c r="L444" s="695" t="s">
        <v>514</v>
      </c>
      <c r="M444" s="695" t="s">
        <v>536</v>
      </c>
      <c r="N444" s="695" t="s">
        <v>660</v>
      </c>
      <c r="O444" s="304" t="s">
        <v>89</v>
      </c>
    </row>
    <row r="445" spans="3:15" x14ac:dyDescent="0.25">
      <c r="C445" s="828">
        <v>1</v>
      </c>
      <c r="D445" s="557">
        <f>SUM(F445:I445)</f>
        <v>0</v>
      </c>
      <c r="E445" s="304" t="s">
        <v>89</v>
      </c>
      <c r="F445" s="560" t="s">
        <v>521</v>
      </c>
      <c r="G445" s="560" t="s">
        <v>521</v>
      </c>
      <c r="H445" s="560" t="s">
        <v>521</v>
      </c>
      <c r="I445" s="886">
        <f>SUM(J445:K445)</f>
        <v>0</v>
      </c>
      <c r="J445" s="886">
        <v>0</v>
      </c>
      <c r="K445" s="886">
        <v>0</v>
      </c>
      <c r="L445" s="886">
        <f>SUM(M445:N445)</f>
        <v>0</v>
      </c>
      <c r="M445" s="886">
        <v>0</v>
      </c>
      <c r="N445" s="886">
        <v>0</v>
      </c>
      <c r="O445" s="304" t="s">
        <v>89</v>
      </c>
    </row>
    <row r="446" spans="3:15" x14ac:dyDescent="0.25">
      <c r="C446" s="828">
        <v>2</v>
      </c>
      <c r="D446" s="558">
        <f t="shared" ref="D446:D509" si="19">SUM(F446:I446)</f>
        <v>0</v>
      </c>
      <c r="E446" s="304" t="s">
        <v>89</v>
      </c>
      <c r="F446" s="561" t="s">
        <v>521</v>
      </c>
      <c r="G446" s="561" t="s">
        <v>521</v>
      </c>
      <c r="H446" s="561" t="s">
        <v>521</v>
      </c>
      <c r="I446" s="887">
        <f t="shared" ref="I446:I509" si="20">SUM(J446:K446)</f>
        <v>0</v>
      </c>
      <c r="J446" s="887">
        <v>0</v>
      </c>
      <c r="K446" s="887">
        <v>0</v>
      </c>
      <c r="L446" s="887">
        <f t="shared" ref="L446:L509" si="21">SUM(M446:N446)</f>
        <v>0</v>
      </c>
      <c r="M446" s="887">
        <v>0</v>
      </c>
      <c r="N446" s="887">
        <v>0</v>
      </c>
      <c r="O446" s="304" t="s">
        <v>89</v>
      </c>
    </row>
    <row r="447" spans="3:15" x14ac:dyDescent="0.25">
      <c r="C447" s="828">
        <v>3</v>
      </c>
      <c r="D447" s="558">
        <f t="shared" si="19"/>
        <v>0</v>
      </c>
      <c r="E447" s="304" t="s">
        <v>89</v>
      </c>
      <c r="F447" s="561" t="s">
        <v>521</v>
      </c>
      <c r="G447" s="561" t="s">
        <v>521</v>
      </c>
      <c r="H447" s="561" t="s">
        <v>521</v>
      </c>
      <c r="I447" s="887">
        <f t="shared" si="20"/>
        <v>0</v>
      </c>
      <c r="J447" s="887">
        <v>0</v>
      </c>
      <c r="K447" s="887">
        <v>0</v>
      </c>
      <c r="L447" s="887">
        <f t="shared" si="21"/>
        <v>0</v>
      </c>
      <c r="M447" s="887">
        <v>0</v>
      </c>
      <c r="N447" s="887">
        <v>0</v>
      </c>
      <c r="O447" s="304" t="s">
        <v>89</v>
      </c>
    </row>
    <row r="448" spans="3:15" x14ac:dyDescent="0.25">
      <c r="C448" s="828">
        <v>4</v>
      </c>
      <c r="D448" s="558">
        <f t="shared" si="19"/>
        <v>0</v>
      </c>
      <c r="E448" s="304" t="s">
        <v>89</v>
      </c>
      <c r="F448" s="561" t="s">
        <v>521</v>
      </c>
      <c r="G448" s="561" t="s">
        <v>521</v>
      </c>
      <c r="H448" s="561" t="s">
        <v>521</v>
      </c>
      <c r="I448" s="887">
        <f t="shared" si="20"/>
        <v>0</v>
      </c>
      <c r="J448" s="887">
        <v>0</v>
      </c>
      <c r="K448" s="887">
        <v>0</v>
      </c>
      <c r="L448" s="887">
        <f t="shared" si="21"/>
        <v>0</v>
      </c>
      <c r="M448" s="887">
        <v>0</v>
      </c>
      <c r="N448" s="887">
        <v>0</v>
      </c>
      <c r="O448" s="304" t="s">
        <v>89</v>
      </c>
    </row>
    <row r="449" spans="3:15" x14ac:dyDescent="0.25">
      <c r="C449" s="828">
        <v>5</v>
      </c>
      <c r="D449" s="558">
        <f t="shared" si="19"/>
        <v>0</v>
      </c>
      <c r="E449" s="304" t="s">
        <v>89</v>
      </c>
      <c r="F449" s="561" t="s">
        <v>521</v>
      </c>
      <c r="G449" s="561" t="s">
        <v>521</v>
      </c>
      <c r="H449" s="561" t="s">
        <v>521</v>
      </c>
      <c r="I449" s="887">
        <f t="shared" si="20"/>
        <v>0</v>
      </c>
      <c r="J449" s="887">
        <v>0</v>
      </c>
      <c r="K449" s="887">
        <v>0</v>
      </c>
      <c r="L449" s="887">
        <f t="shared" si="21"/>
        <v>0</v>
      </c>
      <c r="M449" s="887">
        <v>0</v>
      </c>
      <c r="N449" s="887">
        <v>0</v>
      </c>
      <c r="O449" s="304" t="s">
        <v>89</v>
      </c>
    </row>
    <row r="450" spans="3:15" x14ac:dyDescent="0.25">
      <c r="C450" s="828">
        <v>6</v>
      </c>
      <c r="D450" s="558">
        <f t="shared" si="19"/>
        <v>0</v>
      </c>
      <c r="E450" s="304" t="s">
        <v>89</v>
      </c>
      <c r="F450" s="561" t="s">
        <v>521</v>
      </c>
      <c r="G450" s="561" t="s">
        <v>521</v>
      </c>
      <c r="H450" s="561" t="s">
        <v>521</v>
      </c>
      <c r="I450" s="887">
        <f t="shared" si="20"/>
        <v>0</v>
      </c>
      <c r="J450" s="887">
        <v>0</v>
      </c>
      <c r="K450" s="887">
        <v>0</v>
      </c>
      <c r="L450" s="887">
        <f t="shared" si="21"/>
        <v>0</v>
      </c>
      <c r="M450" s="887">
        <v>0</v>
      </c>
      <c r="N450" s="887">
        <v>0</v>
      </c>
      <c r="O450" s="304" t="s">
        <v>89</v>
      </c>
    </row>
    <row r="451" spans="3:15" x14ac:dyDescent="0.25">
      <c r="C451" s="828">
        <v>7</v>
      </c>
      <c r="D451" s="558">
        <f t="shared" si="19"/>
        <v>0</v>
      </c>
      <c r="E451" s="304" t="s">
        <v>89</v>
      </c>
      <c r="F451" s="561" t="s">
        <v>521</v>
      </c>
      <c r="G451" s="561" t="s">
        <v>521</v>
      </c>
      <c r="H451" s="561" t="s">
        <v>521</v>
      </c>
      <c r="I451" s="887">
        <f t="shared" si="20"/>
        <v>0</v>
      </c>
      <c r="J451" s="887">
        <v>0</v>
      </c>
      <c r="K451" s="887">
        <v>0</v>
      </c>
      <c r="L451" s="887">
        <f t="shared" si="21"/>
        <v>0</v>
      </c>
      <c r="M451" s="887">
        <v>0</v>
      </c>
      <c r="N451" s="887">
        <v>0</v>
      </c>
      <c r="O451" s="304" t="s">
        <v>89</v>
      </c>
    </row>
    <row r="452" spans="3:15" x14ac:dyDescent="0.25">
      <c r="C452" s="828">
        <v>8</v>
      </c>
      <c r="D452" s="558">
        <f t="shared" si="19"/>
        <v>0</v>
      </c>
      <c r="E452" s="304" t="s">
        <v>89</v>
      </c>
      <c r="F452" s="561" t="s">
        <v>521</v>
      </c>
      <c r="G452" s="561" t="s">
        <v>521</v>
      </c>
      <c r="H452" s="561" t="s">
        <v>521</v>
      </c>
      <c r="I452" s="887">
        <f t="shared" si="20"/>
        <v>0</v>
      </c>
      <c r="J452" s="887">
        <v>0</v>
      </c>
      <c r="K452" s="887">
        <v>0</v>
      </c>
      <c r="L452" s="887">
        <f t="shared" si="21"/>
        <v>0</v>
      </c>
      <c r="M452" s="887">
        <v>0</v>
      </c>
      <c r="N452" s="887">
        <v>0</v>
      </c>
      <c r="O452" s="304" t="s">
        <v>89</v>
      </c>
    </row>
    <row r="453" spans="3:15" x14ac:dyDescent="0.25">
      <c r="C453" s="828">
        <v>9</v>
      </c>
      <c r="D453" s="558">
        <f t="shared" si="19"/>
        <v>0</v>
      </c>
      <c r="E453" s="304" t="s">
        <v>89</v>
      </c>
      <c r="F453" s="561" t="s">
        <v>521</v>
      </c>
      <c r="G453" s="561" t="s">
        <v>521</v>
      </c>
      <c r="H453" s="561" t="s">
        <v>521</v>
      </c>
      <c r="I453" s="887">
        <f t="shared" si="20"/>
        <v>0</v>
      </c>
      <c r="J453" s="887">
        <v>0</v>
      </c>
      <c r="K453" s="887">
        <v>0</v>
      </c>
      <c r="L453" s="887">
        <f t="shared" si="21"/>
        <v>0</v>
      </c>
      <c r="M453" s="887">
        <v>0</v>
      </c>
      <c r="N453" s="887">
        <v>0</v>
      </c>
      <c r="O453" s="304" t="s">
        <v>89</v>
      </c>
    </row>
    <row r="454" spans="3:15" x14ac:dyDescent="0.25">
      <c r="C454" s="828">
        <v>10</v>
      </c>
      <c r="D454" s="558">
        <f t="shared" si="19"/>
        <v>0</v>
      </c>
      <c r="E454" s="304" t="s">
        <v>89</v>
      </c>
      <c r="F454" s="561" t="s">
        <v>521</v>
      </c>
      <c r="G454" s="561" t="s">
        <v>521</v>
      </c>
      <c r="H454" s="561" t="s">
        <v>521</v>
      </c>
      <c r="I454" s="887">
        <f t="shared" si="20"/>
        <v>0</v>
      </c>
      <c r="J454" s="887">
        <v>0</v>
      </c>
      <c r="K454" s="887">
        <v>0</v>
      </c>
      <c r="L454" s="887">
        <f t="shared" si="21"/>
        <v>0</v>
      </c>
      <c r="M454" s="887">
        <v>0</v>
      </c>
      <c r="N454" s="887">
        <v>0</v>
      </c>
      <c r="O454" s="304" t="s">
        <v>89</v>
      </c>
    </row>
    <row r="455" spans="3:15" x14ac:dyDescent="0.25">
      <c r="C455" s="828">
        <v>11</v>
      </c>
      <c r="D455" s="558">
        <f t="shared" si="19"/>
        <v>0</v>
      </c>
      <c r="E455" s="304" t="s">
        <v>89</v>
      </c>
      <c r="F455" s="561" t="s">
        <v>521</v>
      </c>
      <c r="G455" s="561" t="s">
        <v>521</v>
      </c>
      <c r="H455" s="561" t="s">
        <v>521</v>
      </c>
      <c r="I455" s="887">
        <f t="shared" si="20"/>
        <v>0</v>
      </c>
      <c r="J455" s="887">
        <v>0</v>
      </c>
      <c r="K455" s="887">
        <v>0</v>
      </c>
      <c r="L455" s="887">
        <f t="shared" si="21"/>
        <v>0</v>
      </c>
      <c r="M455" s="887">
        <v>0</v>
      </c>
      <c r="N455" s="887">
        <v>0</v>
      </c>
      <c r="O455" s="304" t="s">
        <v>89</v>
      </c>
    </row>
    <row r="456" spans="3:15" x14ac:dyDescent="0.25">
      <c r="C456" s="828">
        <v>12</v>
      </c>
      <c r="D456" s="558">
        <f t="shared" si="19"/>
        <v>0</v>
      </c>
      <c r="E456" s="304" t="s">
        <v>89</v>
      </c>
      <c r="F456" s="561" t="s">
        <v>521</v>
      </c>
      <c r="G456" s="561" t="s">
        <v>521</v>
      </c>
      <c r="H456" s="561" t="s">
        <v>521</v>
      </c>
      <c r="I456" s="887">
        <f t="shared" si="20"/>
        <v>0</v>
      </c>
      <c r="J456" s="887">
        <v>0</v>
      </c>
      <c r="K456" s="887">
        <v>0</v>
      </c>
      <c r="L456" s="887">
        <f t="shared" si="21"/>
        <v>0</v>
      </c>
      <c r="M456" s="887">
        <v>0</v>
      </c>
      <c r="N456" s="887">
        <v>0</v>
      </c>
      <c r="O456" s="304" t="s">
        <v>89</v>
      </c>
    </row>
    <row r="457" spans="3:15" x14ac:dyDescent="0.25">
      <c r="C457" s="828">
        <v>13</v>
      </c>
      <c r="D457" s="558">
        <f t="shared" si="19"/>
        <v>0</v>
      </c>
      <c r="E457" s="304" t="s">
        <v>89</v>
      </c>
      <c r="F457" s="561" t="s">
        <v>521</v>
      </c>
      <c r="G457" s="561" t="s">
        <v>521</v>
      </c>
      <c r="H457" s="561" t="s">
        <v>521</v>
      </c>
      <c r="I457" s="887">
        <f t="shared" si="20"/>
        <v>0</v>
      </c>
      <c r="J457" s="887">
        <v>0</v>
      </c>
      <c r="K457" s="887">
        <v>0</v>
      </c>
      <c r="L457" s="887">
        <f t="shared" si="21"/>
        <v>0</v>
      </c>
      <c r="M457" s="887">
        <v>0</v>
      </c>
      <c r="N457" s="887">
        <v>0</v>
      </c>
      <c r="O457" s="304" t="s">
        <v>89</v>
      </c>
    </row>
    <row r="458" spans="3:15" x14ac:dyDescent="0.25">
      <c r="C458" s="828">
        <v>14</v>
      </c>
      <c r="D458" s="558">
        <f t="shared" si="19"/>
        <v>0</v>
      </c>
      <c r="E458" s="304" t="s">
        <v>89</v>
      </c>
      <c r="F458" s="561" t="s">
        <v>521</v>
      </c>
      <c r="G458" s="561" t="s">
        <v>521</v>
      </c>
      <c r="H458" s="561" t="s">
        <v>521</v>
      </c>
      <c r="I458" s="887">
        <f t="shared" si="20"/>
        <v>0</v>
      </c>
      <c r="J458" s="887">
        <v>0</v>
      </c>
      <c r="K458" s="887">
        <v>0</v>
      </c>
      <c r="L458" s="887">
        <f t="shared" si="21"/>
        <v>0</v>
      </c>
      <c r="M458" s="887">
        <v>0</v>
      </c>
      <c r="N458" s="887">
        <v>0</v>
      </c>
      <c r="O458" s="304" t="s">
        <v>89</v>
      </c>
    </row>
    <row r="459" spans="3:15" x14ac:dyDescent="0.25">
      <c r="C459" s="828">
        <v>15</v>
      </c>
      <c r="D459" s="558">
        <f t="shared" si="19"/>
        <v>0</v>
      </c>
      <c r="E459" s="304" t="s">
        <v>89</v>
      </c>
      <c r="F459" s="561" t="s">
        <v>521</v>
      </c>
      <c r="G459" s="561" t="s">
        <v>521</v>
      </c>
      <c r="H459" s="561" t="s">
        <v>521</v>
      </c>
      <c r="I459" s="887">
        <f t="shared" si="20"/>
        <v>0</v>
      </c>
      <c r="J459" s="887">
        <v>0</v>
      </c>
      <c r="K459" s="887">
        <v>0</v>
      </c>
      <c r="L459" s="887">
        <f t="shared" si="21"/>
        <v>0</v>
      </c>
      <c r="M459" s="887">
        <v>0</v>
      </c>
      <c r="N459" s="887">
        <v>0</v>
      </c>
      <c r="O459" s="304" t="s">
        <v>89</v>
      </c>
    </row>
    <row r="460" spans="3:15" x14ac:dyDescent="0.25">
      <c r="C460" s="828">
        <v>16</v>
      </c>
      <c r="D460" s="558">
        <f t="shared" si="19"/>
        <v>0</v>
      </c>
      <c r="E460" s="304" t="s">
        <v>89</v>
      </c>
      <c r="F460" s="561" t="s">
        <v>521</v>
      </c>
      <c r="G460" s="561" t="s">
        <v>521</v>
      </c>
      <c r="H460" s="561" t="s">
        <v>521</v>
      </c>
      <c r="I460" s="887">
        <f t="shared" si="20"/>
        <v>0</v>
      </c>
      <c r="J460" s="887">
        <v>0</v>
      </c>
      <c r="K460" s="887">
        <v>0</v>
      </c>
      <c r="L460" s="887">
        <f t="shared" si="21"/>
        <v>0</v>
      </c>
      <c r="M460" s="887">
        <v>0</v>
      </c>
      <c r="N460" s="887">
        <v>0</v>
      </c>
      <c r="O460" s="304" t="s">
        <v>89</v>
      </c>
    </row>
    <row r="461" spans="3:15" x14ac:dyDescent="0.25">
      <c r="C461" s="828">
        <v>17</v>
      </c>
      <c r="D461" s="558">
        <f t="shared" si="19"/>
        <v>0</v>
      </c>
      <c r="E461" s="304" t="s">
        <v>89</v>
      </c>
      <c r="F461" s="561" t="s">
        <v>521</v>
      </c>
      <c r="G461" s="561" t="s">
        <v>521</v>
      </c>
      <c r="H461" s="561" t="s">
        <v>521</v>
      </c>
      <c r="I461" s="887">
        <f t="shared" si="20"/>
        <v>0</v>
      </c>
      <c r="J461" s="887">
        <v>0</v>
      </c>
      <c r="K461" s="887">
        <v>0</v>
      </c>
      <c r="L461" s="887">
        <f t="shared" si="21"/>
        <v>0</v>
      </c>
      <c r="M461" s="887">
        <v>0</v>
      </c>
      <c r="N461" s="887">
        <v>0</v>
      </c>
      <c r="O461" s="304" t="s">
        <v>89</v>
      </c>
    </row>
    <row r="462" spans="3:15" x14ac:dyDescent="0.25">
      <c r="C462" s="828">
        <v>18</v>
      </c>
      <c r="D462" s="558">
        <f t="shared" si="19"/>
        <v>0</v>
      </c>
      <c r="E462" s="304" t="s">
        <v>89</v>
      </c>
      <c r="F462" s="561" t="s">
        <v>521</v>
      </c>
      <c r="G462" s="561" t="s">
        <v>521</v>
      </c>
      <c r="H462" s="561" t="s">
        <v>521</v>
      </c>
      <c r="I462" s="887">
        <f t="shared" si="20"/>
        <v>0</v>
      </c>
      <c r="J462" s="887">
        <v>0</v>
      </c>
      <c r="K462" s="887">
        <v>0</v>
      </c>
      <c r="L462" s="887">
        <f t="shared" si="21"/>
        <v>0</v>
      </c>
      <c r="M462" s="887">
        <v>0</v>
      </c>
      <c r="N462" s="887">
        <v>0</v>
      </c>
      <c r="O462" s="304" t="s">
        <v>89</v>
      </c>
    </row>
    <row r="463" spans="3:15" x14ac:dyDescent="0.25">
      <c r="C463" s="828">
        <v>19</v>
      </c>
      <c r="D463" s="558">
        <f t="shared" si="19"/>
        <v>0</v>
      </c>
      <c r="E463" s="304" t="s">
        <v>89</v>
      </c>
      <c r="F463" s="561" t="s">
        <v>521</v>
      </c>
      <c r="G463" s="561" t="s">
        <v>521</v>
      </c>
      <c r="H463" s="561" t="s">
        <v>521</v>
      </c>
      <c r="I463" s="887">
        <f t="shared" si="20"/>
        <v>0</v>
      </c>
      <c r="J463" s="887">
        <v>0</v>
      </c>
      <c r="K463" s="887">
        <v>0</v>
      </c>
      <c r="L463" s="887">
        <f t="shared" si="21"/>
        <v>0</v>
      </c>
      <c r="M463" s="887">
        <v>0</v>
      </c>
      <c r="N463" s="887">
        <v>0</v>
      </c>
      <c r="O463" s="304" t="s">
        <v>89</v>
      </c>
    </row>
    <row r="464" spans="3:15" x14ac:dyDescent="0.25">
      <c r="C464" s="828">
        <v>20</v>
      </c>
      <c r="D464" s="558">
        <f t="shared" si="19"/>
        <v>0</v>
      </c>
      <c r="E464" s="304" t="s">
        <v>89</v>
      </c>
      <c r="F464" s="561" t="s">
        <v>521</v>
      </c>
      <c r="G464" s="561" t="s">
        <v>521</v>
      </c>
      <c r="H464" s="561" t="s">
        <v>521</v>
      </c>
      <c r="I464" s="887">
        <f t="shared" si="20"/>
        <v>0</v>
      </c>
      <c r="J464" s="887">
        <v>0</v>
      </c>
      <c r="K464" s="887">
        <v>0</v>
      </c>
      <c r="L464" s="887">
        <f t="shared" si="21"/>
        <v>0</v>
      </c>
      <c r="M464" s="887">
        <v>0</v>
      </c>
      <c r="N464" s="887">
        <v>0</v>
      </c>
      <c r="O464" s="304" t="s">
        <v>89</v>
      </c>
    </row>
    <row r="465" spans="3:15" x14ac:dyDescent="0.25">
      <c r="C465" s="828">
        <v>21</v>
      </c>
      <c r="D465" s="558">
        <f t="shared" si="19"/>
        <v>0</v>
      </c>
      <c r="E465" s="304" t="s">
        <v>89</v>
      </c>
      <c r="F465" s="561" t="s">
        <v>521</v>
      </c>
      <c r="G465" s="561" t="s">
        <v>521</v>
      </c>
      <c r="H465" s="561" t="s">
        <v>521</v>
      </c>
      <c r="I465" s="887">
        <f t="shared" si="20"/>
        <v>0</v>
      </c>
      <c r="J465" s="887">
        <v>0</v>
      </c>
      <c r="K465" s="887">
        <v>0</v>
      </c>
      <c r="L465" s="887">
        <f t="shared" si="21"/>
        <v>0</v>
      </c>
      <c r="M465" s="887">
        <v>0</v>
      </c>
      <c r="N465" s="887">
        <v>0</v>
      </c>
      <c r="O465" s="304" t="s">
        <v>89</v>
      </c>
    </row>
    <row r="466" spans="3:15" x14ac:dyDescent="0.25">
      <c r="C466" s="828">
        <v>22</v>
      </c>
      <c r="D466" s="558">
        <f t="shared" si="19"/>
        <v>0</v>
      </c>
      <c r="E466" s="304" t="s">
        <v>89</v>
      </c>
      <c r="F466" s="561" t="s">
        <v>521</v>
      </c>
      <c r="G466" s="561" t="s">
        <v>521</v>
      </c>
      <c r="H466" s="561" t="s">
        <v>521</v>
      </c>
      <c r="I466" s="887">
        <f t="shared" si="20"/>
        <v>0</v>
      </c>
      <c r="J466" s="887">
        <v>0</v>
      </c>
      <c r="K466" s="887">
        <v>0</v>
      </c>
      <c r="L466" s="887">
        <f t="shared" si="21"/>
        <v>0</v>
      </c>
      <c r="M466" s="887">
        <v>0</v>
      </c>
      <c r="N466" s="887">
        <v>0</v>
      </c>
      <c r="O466" s="304" t="s">
        <v>89</v>
      </c>
    </row>
    <row r="467" spans="3:15" x14ac:dyDescent="0.25">
      <c r="C467" s="828">
        <v>23</v>
      </c>
      <c r="D467" s="558">
        <f t="shared" si="19"/>
        <v>0</v>
      </c>
      <c r="E467" s="304" t="s">
        <v>89</v>
      </c>
      <c r="F467" s="561" t="s">
        <v>521</v>
      </c>
      <c r="G467" s="561" t="s">
        <v>521</v>
      </c>
      <c r="H467" s="561" t="s">
        <v>521</v>
      </c>
      <c r="I467" s="887">
        <f t="shared" si="20"/>
        <v>0</v>
      </c>
      <c r="J467" s="887">
        <v>0</v>
      </c>
      <c r="K467" s="887">
        <v>0</v>
      </c>
      <c r="L467" s="887">
        <f t="shared" si="21"/>
        <v>0</v>
      </c>
      <c r="M467" s="887">
        <v>0</v>
      </c>
      <c r="N467" s="887">
        <v>0</v>
      </c>
      <c r="O467" s="304" t="s">
        <v>89</v>
      </c>
    </row>
    <row r="468" spans="3:15" x14ac:dyDescent="0.25">
      <c r="C468" s="828">
        <v>24</v>
      </c>
      <c r="D468" s="558">
        <f t="shared" si="19"/>
        <v>0</v>
      </c>
      <c r="E468" s="304" t="s">
        <v>89</v>
      </c>
      <c r="F468" s="561" t="s">
        <v>521</v>
      </c>
      <c r="G468" s="561" t="s">
        <v>521</v>
      </c>
      <c r="H468" s="561" t="s">
        <v>521</v>
      </c>
      <c r="I468" s="887">
        <f t="shared" si="20"/>
        <v>0</v>
      </c>
      <c r="J468" s="887">
        <v>0</v>
      </c>
      <c r="K468" s="887">
        <v>0</v>
      </c>
      <c r="L468" s="887">
        <f t="shared" si="21"/>
        <v>0</v>
      </c>
      <c r="M468" s="887">
        <v>0</v>
      </c>
      <c r="N468" s="887">
        <v>0</v>
      </c>
      <c r="O468" s="304" t="s">
        <v>89</v>
      </c>
    </row>
    <row r="469" spans="3:15" x14ac:dyDescent="0.25">
      <c r="C469" s="828">
        <v>25</v>
      </c>
      <c r="D469" s="558">
        <f t="shared" si="19"/>
        <v>0</v>
      </c>
      <c r="E469" s="304" t="s">
        <v>89</v>
      </c>
      <c r="F469" s="561" t="s">
        <v>521</v>
      </c>
      <c r="G469" s="561" t="s">
        <v>521</v>
      </c>
      <c r="H469" s="561" t="s">
        <v>521</v>
      </c>
      <c r="I469" s="887">
        <f t="shared" si="20"/>
        <v>0</v>
      </c>
      <c r="J469" s="887">
        <v>0</v>
      </c>
      <c r="K469" s="887">
        <v>0</v>
      </c>
      <c r="L469" s="887">
        <f t="shared" si="21"/>
        <v>0</v>
      </c>
      <c r="M469" s="887">
        <v>0</v>
      </c>
      <c r="N469" s="887">
        <v>0</v>
      </c>
      <c r="O469" s="304" t="s">
        <v>89</v>
      </c>
    </row>
    <row r="470" spans="3:15" x14ac:dyDescent="0.25">
      <c r="C470" s="828">
        <v>26</v>
      </c>
      <c r="D470" s="558">
        <f t="shared" si="19"/>
        <v>0</v>
      </c>
      <c r="E470" s="304" t="s">
        <v>89</v>
      </c>
      <c r="F470" s="561" t="s">
        <v>521</v>
      </c>
      <c r="G470" s="561" t="s">
        <v>521</v>
      </c>
      <c r="H470" s="561" t="s">
        <v>521</v>
      </c>
      <c r="I470" s="887">
        <f t="shared" si="20"/>
        <v>0</v>
      </c>
      <c r="J470" s="887">
        <v>0</v>
      </c>
      <c r="K470" s="887">
        <v>0</v>
      </c>
      <c r="L470" s="887">
        <f t="shared" si="21"/>
        <v>0</v>
      </c>
      <c r="M470" s="887">
        <v>0</v>
      </c>
      <c r="N470" s="887">
        <v>0</v>
      </c>
      <c r="O470" s="304" t="s">
        <v>89</v>
      </c>
    </row>
    <row r="471" spans="3:15" x14ac:dyDescent="0.25">
      <c r="C471" s="828">
        <v>27</v>
      </c>
      <c r="D471" s="558">
        <f t="shared" si="19"/>
        <v>0</v>
      </c>
      <c r="E471" s="304" t="s">
        <v>89</v>
      </c>
      <c r="F471" s="561" t="s">
        <v>521</v>
      </c>
      <c r="G471" s="561" t="s">
        <v>521</v>
      </c>
      <c r="H471" s="561" t="s">
        <v>521</v>
      </c>
      <c r="I471" s="887">
        <f t="shared" si="20"/>
        <v>0</v>
      </c>
      <c r="J471" s="887">
        <v>0</v>
      </c>
      <c r="K471" s="887">
        <v>0</v>
      </c>
      <c r="L471" s="887">
        <f t="shared" si="21"/>
        <v>0</v>
      </c>
      <c r="M471" s="887">
        <v>0</v>
      </c>
      <c r="N471" s="887">
        <v>0</v>
      </c>
      <c r="O471" s="304" t="s">
        <v>89</v>
      </c>
    </row>
    <row r="472" spans="3:15" x14ac:dyDescent="0.25">
      <c r="C472" s="828">
        <v>28</v>
      </c>
      <c r="D472" s="558">
        <f t="shared" si="19"/>
        <v>0</v>
      </c>
      <c r="E472" s="304" t="s">
        <v>89</v>
      </c>
      <c r="F472" s="561" t="s">
        <v>521</v>
      </c>
      <c r="G472" s="561" t="s">
        <v>521</v>
      </c>
      <c r="H472" s="561" t="s">
        <v>521</v>
      </c>
      <c r="I472" s="887">
        <f t="shared" si="20"/>
        <v>0</v>
      </c>
      <c r="J472" s="887">
        <v>0</v>
      </c>
      <c r="K472" s="887">
        <v>0</v>
      </c>
      <c r="L472" s="887">
        <f t="shared" si="21"/>
        <v>0</v>
      </c>
      <c r="M472" s="887">
        <v>0</v>
      </c>
      <c r="N472" s="887">
        <v>0</v>
      </c>
      <c r="O472" s="304" t="s">
        <v>89</v>
      </c>
    </row>
    <row r="473" spans="3:15" x14ac:dyDescent="0.25">
      <c r="C473" s="828">
        <v>29</v>
      </c>
      <c r="D473" s="558">
        <f t="shared" si="19"/>
        <v>0</v>
      </c>
      <c r="E473" s="304" t="s">
        <v>89</v>
      </c>
      <c r="F473" s="561" t="s">
        <v>521</v>
      </c>
      <c r="G473" s="561" t="s">
        <v>521</v>
      </c>
      <c r="H473" s="561" t="s">
        <v>521</v>
      </c>
      <c r="I473" s="887">
        <f t="shared" si="20"/>
        <v>0</v>
      </c>
      <c r="J473" s="887">
        <v>0</v>
      </c>
      <c r="K473" s="887">
        <v>0</v>
      </c>
      <c r="L473" s="887">
        <f t="shared" si="21"/>
        <v>0</v>
      </c>
      <c r="M473" s="887">
        <v>0</v>
      </c>
      <c r="N473" s="887">
        <v>0</v>
      </c>
      <c r="O473" s="304" t="s">
        <v>89</v>
      </c>
    </row>
    <row r="474" spans="3:15" x14ac:dyDescent="0.25">
      <c r="C474" s="828">
        <v>30</v>
      </c>
      <c r="D474" s="558">
        <f t="shared" si="19"/>
        <v>0</v>
      </c>
      <c r="E474" s="304" t="s">
        <v>89</v>
      </c>
      <c r="F474" s="561" t="s">
        <v>521</v>
      </c>
      <c r="G474" s="561" t="s">
        <v>521</v>
      </c>
      <c r="H474" s="561" t="s">
        <v>521</v>
      </c>
      <c r="I474" s="887">
        <f t="shared" si="20"/>
        <v>0</v>
      </c>
      <c r="J474" s="887">
        <v>0</v>
      </c>
      <c r="K474" s="887">
        <v>0</v>
      </c>
      <c r="L474" s="887">
        <f t="shared" si="21"/>
        <v>0</v>
      </c>
      <c r="M474" s="887">
        <v>0</v>
      </c>
      <c r="N474" s="887">
        <v>0</v>
      </c>
      <c r="O474" s="304" t="s">
        <v>89</v>
      </c>
    </row>
    <row r="475" spans="3:15" x14ac:dyDescent="0.25">
      <c r="C475" s="828">
        <v>31</v>
      </c>
      <c r="D475" s="558">
        <f t="shared" si="19"/>
        <v>0</v>
      </c>
      <c r="E475" s="304" t="s">
        <v>89</v>
      </c>
      <c r="F475" s="561" t="s">
        <v>521</v>
      </c>
      <c r="G475" s="561" t="s">
        <v>521</v>
      </c>
      <c r="H475" s="561" t="s">
        <v>521</v>
      </c>
      <c r="I475" s="887">
        <f t="shared" si="20"/>
        <v>0</v>
      </c>
      <c r="J475" s="887">
        <v>0</v>
      </c>
      <c r="K475" s="887">
        <v>0</v>
      </c>
      <c r="L475" s="887">
        <f t="shared" si="21"/>
        <v>0</v>
      </c>
      <c r="M475" s="887">
        <v>0</v>
      </c>
      <c r="N475" s="887">
        <v>0</v>
      </c>
      <c r="O475" s="304" t="s">
        <v>89</v>
      </c>
    </row>
    <row r="476" spans="3:15" x14ac:dyDescent="0.25">
      <c r="C476" s="828">
        <v>32</v>
      </c>
      <c r="D476" s="558">
        <f t="shared" si="19"/>
        <v>0</v>
      </c>
      <c r="E476" s="304" t="s">
        <v>89</v>
      </c>
      <c r="F476" s="561" t="s">
        <v>521</v>
      </c>
      <c r="G476" s="561" t="s">
        <v>521</v>
      </c>
      <c r="H476" s="561" t="s">
        <v>521</v>
      </c>
      <c r="I476" s="887">
        <f t="shared" si="20"/>
        <v>0</v>
      </c>
      <c r="J476" s="887">
        <v>0</v>
      </c>
      <c r="K476" s="887">
        <v>0</v>
      </c>
      <c r="L476" s="887">
        <f t="shared" si="21"/>
        <v>0</v>
      </c>
      <c r="M476" s="887">
        <v>0</v>
      </c>
      <c r="N476" s="887">
        <v>0</v>
      </c>
      <c r="O476" s="304" t="s">
        <v>89</v>
      </c>
    </row>
    <row r="477" spans="3:15" x14ac:dyDescent="0.25">
      <c r="C477" s="828">
        <v>33</v>
      </c>
      <c r="D477" s="558">
        <f t="shared" si="19"/>
        <v>0</v>
      </c>
      <c r="E477" s="304" t="s">
        <v>89</v>
      </c>
      <c r="F477" s="561" t="s">
        <v>521</v>
      </c>
      <c r="G477" s="561" t="s">
        <v>521</v>
      </c>
      <c r="H477" s="561" t="s">
        <v>521</v>
      </c>
      <c r="I477" s="887">
        <f t="shared" si="20"/>
        <v>0</v>
      </c>
      <c r="J477" s="887">
        <v>0</v>
      </c>
      <c r="K477" s="887">
        <v>0</v>
      </c>
      <c r="L477" s="887">
        <f t="shared" si="21"/>
        <v>0</v>
      </c>
      <c r="M477" s="887">
        <v>0</v>
      </c>
      <c r="N477" s="887">
        <v>0</v>
      </c>
      <c r="O477" s="304" t="s">
        <v>89</v>
      </c>
    </row>
    <row r="478" spans="3:15" x14ac:dyDescent="0.25">
      <c r="C478" s="828">
        <v>34</v>
      </c>
      <c r="D478" s="558">
        <f t="shared" si="19"/>
        <v>0</v>
      </c>
      <c r="E478" s="304" t="s">
        <v>89</v>
      </c>
      <c r="F478" s="561" t="s">
        <v>521</v>
      </c>
      <c r="G478" s="561" t="s">
        <v>521</v>
      </c>
      <c r="H478" s="561" t="s">
        <v>521</v>
      </c>
      <c r="I478" s="887">
        <f t="shared" si="20"/>
        <v>0</v>
      </c>
      <c r="J478" s="887">
        <v>0</v>
      </c>
      <c r="K478" s="887">
        <v>0</v>
      </c>
      <c r="L478" s="887">
        <f t="shared" si="21"/>
        <v>0</v>
      </c>
      <c r="M478" s="887">
        <v>0</v>
      </c>
      <c r="N478" s="887">
        <v>0</v>
      </c>
      <c r="O478" s="304" t="s">
        <v>89</v>
      </c>
    </row>
    <row r="479" spans="3:15" x14ac:dyDescent="0.25">
      <c r="C479" s="828">
        <v>35</v>
      </c>
      <c r="D479" s="558">
        <f t="shared" si="19"/>
        <v>0</v>
      </c>
      <c r="E479" s="304" t="s">
        <v>89</v>
      </c>
      <c r="F479" s="561" t="s">
        <v>521</v>
      </c>
      <c r="G479" s="561" t="s">
        <v>521</v>
      </c>
      <c r="H479" s="561" t="s">
        <v>521</v>
      </c>
      <c r="I479" s="887">
        <f t="shared" si="20"/>
        <v>0</v>
      </c>
      <c r="J479" s="887">
        <v>0</v>
      </c>
      <c r="K479" s="887">
        <v>0</v>
      </c>
      <c r="L479" s="887">
        <f t="shared" si="21"/>
        <v>0</v>
      </c>
      <c r="M479" s="887">
        <v>0</v>
      </c>
      <c r="N479" s="887">
        <v>0</v>
      </c>
      <c r="O479" s="304" t="s">
        <v>89</v>
      </c>
    </row>
    <row r="480" spans="3:15" x14ac:dyDescent="0.25">
      <c r="C480" s="828">
        <v>36</v>
      </c>
      <c r="D480" s="558">
        <f t="shared" si="19"/>
        <v>0</v>
      </c>
      <c r="E480" s="304" t="s">
        <v>89</v>
      </c>
      <c r="F480" s="561" t="s">
        <v>521</v>
      </c>
      <c r="G480" s="561" t="s">
        <v>521</v>
      </c>
      <c r="H480" s="561" t="s">
        <v>521</v>
      </c>
      <c r="I480" s="887">
        <f t="shared" si="20"/>
        <v>0</v>
      </c>
      <c r="J480" s="887">
        <v>0</v>
      </c>
      <c r="K480" s="887">
        <v>0</v>
      </c>
      <c r="L480" s="887">
        <f t="shared" si="21"/>
        <v>0</v>
      </c>
      <c r="M480" s="887">
        <v>0</v>
      </c>
      <c r="N480" s="887">
        <v>0</v>
      </c>
      <c r="O480" s="304" t="s">
        <v>89</v>
      </c>
    </row>
    <row r="481" spans="3:15" x14ac:dyDescent="0.25">
      <c r="C481" s="828">
        <v>37</v>
      </c>
      <c r="D481" s="558">
        <f t="shared" si="19"/>
        <v>0</v>
      </c>
      <c r="E481" s="304" t="s">
        <v>89</v>
      </c>
      <c r="F481" s="561" t="s">
        <v>521</v>
      </c>
      <c r="G481" s="561" t="s">
        <v>521</v>
      </c>
      <c r="H481" s="561" t="s">
        <v>521</v>
      </c>
      <c r="I481" s="887">
        <f t="shared" si="20"/>
        <v>0</v>
      </c>
      <c r="J481" s="887">
        <v>0</v>
      </c>
      <c r="K481" s="887">
        <v>0</v>
      </c>
      <c r="L481" s="887">
        <f t="shared" si="21"/>
        <v>0</v>
      </c>
      <c r="M481" s="887">
        <v>0</v>
      </c>
      <c r="N481" s="887">
        <v>0</v>
      </c>
      <c r="O481" s="304" t="s">
        <v>89</v>
      </c>
    </row>
    <row r="482" spans="3:15" x14ac:dyDescent="0.25">
      <c r="C482" s="828">
        <v>38</v>
      </c>
      <c r="D482" s="558">
        <f t="shared" si="19"/>
        <v>0</v>
      </c>
      <c r="E482" s="304" t="s">
        <v>89</v>
      </c>
      <c r="F482" s="561" t="s">
        <v>521</v>
      </c>
      <c r="G482" s="561" t="s">
        <v>521</v>
      </c>
      <c r="H482" s="561" t="s">
        <v>521</v>
      </c>
      <c r="I482" s="887">
        <f t="shared" si="20"/>
        <v>0</v>
      </c>
      <c r="J482" s="887">
        <v>0</v>
      </c>
      <c r="K482" s="887">
        <v>0</v>
      </c>
      <c r="L482" s="887">
        <f t="shared" si="21"/>
        <v>0</v>
      </c>
      <c r="M482" s="887">
        <v>0</v>
      </c>
      <c r="N482" s="887">
        <v>0</v>
      </c>
      <c r="O482" s="304" t="s">
        <v>89</v>
      </c>
    </row>
    <row r="483" spans="3:15" x14ac:dyDescent="0.25">
      <c r="C483" s="828">
        <v>39</v>
      </c>
      <c r="D483" s="558">
        <f t="shared" si="19"/>
        <v>0</v>
      </c>
      <c r="E483" s="304" t="s">
        <v>89</v>
      </c>
      <c r="F483" s="561" t="s">
        <v>521</v>
      </c>
      <c r="G483" s="561" t="s">
        <v>521</v>
      </c>
      <c r="H483" s="561" t="s">
        <v>521</v>
      </c>
      <c r="I483" s="887">
        <f t="shared" si="20"/>
        <v>0</v>
      </c>
      <c r="J483" s="887">
        <v>0</v>
      </c>
      <c r="K483" s="887">
        <v>0</v>
      </c>
      <c r="L483" s="887">
        <f t="shared" si="21"/>
        <v>0</v>
      </c>
      <c r="M483" s="887">
        <v>0</v>
      </c>
      <c r="N483" s="887">
        <v>0</v>
      </c>
      <c r="O483" s="304" t="s">
        <v>89</v>
      </c>
    </row>
    <row r="484" spans="3:15" x14ac:dyDescent="0.25">
      <c r="C484" s="828">
        <v>40</v>
      </c>
      <c r="D484" s="558">
        <f t="shared" si="19"/>
        <v>0</v>
      </c>
      <c r="E484" s="304" t="s">
        <v>89</v>
      </c>
      <c r="F484" s="561" t="s">
        <v>521</v>
      </c>
      <c r="G484" s="561" t="s">
        <v>521</v>
      </c>
      <c r="H484" s="561" t="s">
        <v>521</v>
      </c>
      <c r="I484" s="887">
        <f t="shared" si="20"/>
        <v>0</v>
      </c>
      <c r="J484" s="887">
        <v>0</v>
      </c>
      <c r="K484" s="887">
        <v>0</v>
      </c>
      <c r="L484" s="887">
        <f t="shared" si="21"/>
        <v>0</v>
      </c>
      <c r="M484" s="887">
        <v>0</v>
      </c>
      <c r="N484" s="887">
        <v>0</v>
      </c>
      <c r="O484" s="304" t="s">
        <v>89</v>
      </c>
    </row>
    <row r="485" spans="3:15" x14ac:dyDescent="0.25">
      <c r="C485" s="828">
        <v>41</v>
      </c>
      <c r="D485" s="558">
        <f t="shared" si="19"/>
        <v>0</v>
      </c>
      <c r="E485" s="304" t="s">
        <v>89</v>
      </c>
      <c r="F485" s="561" t="s">
        <v>521</v>
      </c>
      <c r="G485" s="561" t="s">
        <v>521</v>
      </c>
      <c r="H485" s="561" t="s">
        <v>521</v>
      </c>
      <c r="I485" s="887">
        <f t="shared" si="20"/>
        <v>0</v>
      </c>
      <c r="J485" s="887">
        <v>0</v>
      </c>
      <c r="K485" s="887">
        <v>0</v>
      </c>
      <c r="L485" s="887">
        <f t="shared" si="21"/>
        <v>0</v>
      </c>
      <c r="M485" s="887">
        <v>0</v>
      </c>
      <c r="N485" s="887">
        <v>0</v>
      </c>
      <c r="O485" s="304" t="s">
        <v>89</v>
      </c>
    </row>
    <row r="486" spans="3:15" x14ac:dyDescent="0.25">
      <c r="C486" s="828">
        <v>42</v>
      </c>
      <c r="D486" s="558">
        <f t="shared" si="19"/>
        <v>0</v>
      </c>
      <c r="E486" s="304" t="s">
        <v>89</v>
      </c>
      <c r="F486" s="561" t="s">
        <v>521</v>
      </c>
      <c r="G486" s="561" t="s">
        <v>521</v>
      </c>
      <c r="H486" s="561" t="s">
        <v>521</v>
      </c>
      <c r="I486" s="887">
        <f t="shared" si="20"/>
        <v>0</v>
      </c>
      <c r="J486" s="887">
        <v>0</v>
      </c>
      <c r="K486" s="887">
        <v>0</v>
      </c>
      <c r="L486" s="887">
        <f t="shared" si="21"/>
        <v>0</v>
      </c>
      <c r="M486" s="887">
        <v>0</v>
      </c>
      <c r="N486" s="887">
        <v>0</v>
      </c>
      <c r="O486" s="304" t="s">
        <v>89</v>
      </c>
    </row>
    <row r="487" spans="3:15" x14ac:dyDescent="0.25">
      <c r="C487" s="828">
        <v>43</v>
      </c>
      <c r="D487" s="558">
        <f t="shared" si="19"/>
        <v>0</v>
      </c>
      <c r="E487" s="304" t="s">
        <v>89</v>
      </c>
      <c r="F487" s="561" t="s">
        <v>521</v>
      </c>
      <c r="G487" s="561" t="s">
        <v>521</v>
      </c>
      <c r="H487" s="561" t="s">
        <v>521</v>
      </c>
      <c r="I487" s="887">
        <f t="shared" si="20"/>
        <v>0</v>
      </c>
      <c r="J487" s="887">
        <v>0</v>
      </c>
      <c r="K487" s="887">
        <v>0</v>
      </c>
      <c r="L487" s="887">
        <f t="shared" si="21"/>
        <v>0</v>
      </c>
      <c r="M487" s="887">
        <v>0</v>
      </c>
      <c r="N487" s="887">
        <v>0</v>
      </c>
      <c r="O487" s="304" t="s">
        <v>89</v>
      </c>
    </row>
    <row r="488" spans="3:15" x14ac:dyDescent="0.25">
      <c r="C488" s="828">
        <v>44</v>
      </c>
      <c r="D488" s="558">
        <f t="shared" si="19"/>
        <v>0</v>
      </c>
      <c r="E488" s="304" t="s">
        <v>89</v>
      </c>
      <c r="F488" s="561" t="s">
        <v>521</v>
      </c>
      <c r="G488" s="561" t="s">
        <v>521</v>
      </c>
      <c r="H488" s="561" t="s">
        <v>521</v>
      </c>
      <c r="I488" s="887">
        <f t="shared" si="20"/>
        <v>0</v>
      </c>
      <c r="J488" s="887">
        <v>0</v>
      </c>
      <c r="K488" s="887">
        <v>0</v>
      </c>
      <c r="L488" s="887">
        <f t="shared" si="21"/>
        <v>0</v>
      </c>
      <c r="M488" s="887">
        <v>0</v>
      </c>
      <c r="N488" s="887">
        <v>0</v>
      </c>
      <c r="O488" s="304" t="s">
        <v>89</v>
      </c>
    </row>
    <row r="489" spans="3:15" x14ac:dyDescent="0.25">
      <c r="C489" s="828">
        <v>45</v>
      </c>
      <c r="D489" s="558">
        <f t="shared" si="19"/>
        <v>0</v>
      </c>
      <c r="E489" s="304" t="s">
        <v>89</v>
      </c>
      <c r="F489" s="561" t="s">
        <v>521</v>
      </c>
      <c r="G489" s="561" t="s">
        <v>521</v>
      </c>
      <c r="H489" s="561" t="s">
        <v>521</v>
      </c>
      <c r="I489" s="887">
        <f t="shared" si="20"/>
        <v>0</v>
      </c>
      <c r="J489" s="887">
        <v>0</v>
      </c>
      <c r="K489" s="887">
        <v>0</v>
      </c>
      <c r="L489" s="887">
        <f t="shared" si="21"/>
        <v>0</v>
      </c>
      <c r="M489" s="887">
        <v>0</v>
      </c>
      <c r="N489" s="887">
        <v>0</v>
      </c>
      <c r="O489" s="304" t="s">
        <v>89</v>
      </c>
    </row>
    <row r="490" spans="3:15" x14ac:dyDescent="0.25">
      <c r="C490" s="828">
        <v>46</v>
      </c>
      <c r="D490" s="558">
        <f t="shared" si="19"/>
        <v>0</v>
      </c>
      <c r="E490" s="304" t="s">
        <v>89</v>
      </c>
      <c r="F490" s="561" t="s">
        <v>521</v>
      </c>
      <c r="G490" s="561" t="s">
        <v>521</v>
      </c>
      <c r="H490" s="561" t="s">
        <v>521</v>
      </c>
      <c r="I490" s="887">
        <f t="shared" si="20"/>
        <v>0</v>
      </c>
      <c r="J490" s="887">
        <v>0</v>
      </c>
      <c r="K490" s="887">
        <v>0</v>
      </c>
      <c r="L490" s="887">
        <f t="shared" si="21"/>
        <v>0</v>
      </c>
      <c r="M490" s="887">
        <v>0</v>
      </c>
      <c r="N490" s="887">
        <v>0</v>
      </c>
      <c r="O490" s="304" t="s">
        <v>89</v>
      </c>
    </row>
    <row r="491" spans="3:15" x14ac:dyDescent="0.25">
      <c r="C491" s="828">
        <v>47</v>
      </c>
      <c r="D491" s="558">
        <f t="shared" si="19"/>
        <v>0</v>
      </c>
      <c r="E491" s="304" t="s">
        <v>89</v>
      </c>
      <c r="F491" s="561" t="s">
        <v>521</v>
      </c>
      <c r="G491" s="561" t="s">
        <v>521</v>
      </c>
      <c r="H491" s="561" t="s">
        <v>521</v>
      </c>
      <c r="I491" s="887">
        <f t="shared" si="20"/>
        <v>0</v>
      </c>
      <c r="J491" s="887">
        <v>0</v>
      </c>
      <c r="K491" s="887">
        <v>0</v>
      </c>
      <c r="L491" s="887">
        <f t="shared" si="21"/>
        <v>0</v>
      </c>
      <c r="M491" s="887">
        <v>0</v>
      </c>
      <c r="N491" s="887">
        <v>0</v>
      </c>
      <c r="O491" s="304" t="s">
        <v>89</v>
      </c>
    </row>
    <row r="492" spans="3:15" x14ac:dyDescent="0.25">
      <c r="C492" s="828">
        <v>48</v>
      </c>
      <c r="D492" s="558">
        <f t="shared" si="19"/>
        <v>0</v>
      </c>
      <c r="E492" s="304" t="s">
        <v>89</v>
      </c>
      <c r="F492" s="561" t="s">
        <v>521</v>
      </c>
      <c r="G492" s="561" t="s">
        <v>521</v>
      </c>
      <c r="H492" s="561" t="s">
        <v>521</v>
      </c>
      <c r="I492" s="887">
        <f t="shared" si="20"/>
        <v>0</v>
      </c>
      <c r="J492" s="887">
        <v>0</v>
      </c>
      <c r="K492" s="887">
        <v>0</v>
      </c>
      <c r="L492" s="887">
        <f t="shared" si="21"/>
        <v>0</v>
      </c>
      <c r="M492" s="887">
        <v>0</v>
      </c>
      <c r="N492" s="887">
        <v>0</v>
      </c>
      <c r="O492" s="304" t="s">
        <v>89</v>
      </c>
    </row>
    <row r="493" spans="3:15" x14ac:dyDescent="0.25">
      <c r="C493" s="828">
        <v>49</v>
      </c>
      <c r="D493" s="558">
        <f t="shared" si="19"/>
        <v>0</v>
      </c>
      <c r="E493" s="304" t="s">
        <v>89</v>
      </c>
      <c r="F493" s="561" t="s">
        <v>521</v>
      </c>
      <c r="G493" s="561" t="s">
        <v>521</v>
      </c>
      <c r="H493" s="561" t="s">
        <v>521</v>
      </c>
      <c r="I493" s="887">
        <f t="shared" si="20"/>
        <v>0</v>
      </c>
      <c r="J493" s="887">
        <v>0</v>
      </c>
      <c r="K493" s="887">
        <v>0</v>
      </c>
      <c r="L493" s="887">
        <f t="shared" si="21"/>
        <v>0</v>
      </c>
      <c r="M493" s="887">
        <v>0</v>
      </c>
      <c r="N493" s="887">
        <v>0</v>
      </c>
      <c r="O493" s="304" t="s">
        <v>89</v>
      </c>
    </row>
    <row r="494" spans="3:15" x14ac:dyDescent="0.25">
      <c r="C494" s="828">
        <v>50</v>
      </c>
      <c r="D494" s="558">
        <f t="shared" si="19"/>
        <v>0</v>
      </c>
      <c r="E494" s="304" t="s">
        <v>89</v>
      </c>
      <c r="F494" s="561" t="s">
        <v>521</v>
      </c>
      <c r="G494" s="561" t="s">
        <v>521</v>
      </c>
      <c r="H494" s="561" t="s">
        <v>521</v>
      </c>
      <c r="I494" s="887">
        <f t="shared" si="20"/>
        <v>0</v>
      </c>
      <c r="J494" s="887">
        <v>0</v>
      </c>
      <c r="K494" s="887">
        <v>0</v>
      </c>
      <c r="L494" s="887">
        <f t="shared" si="21"/>
        <v>0</v>
      </c>
      <c r="M494" s="887">
        <v>0</v>
      </c>
      <c r="N494" s="887">
        <v>0</v>
      </c>
      <c r="O494" s="304" t="s">
        <v>89</v>
      </c>
    </row>
    <row r="495" spans="3:15" x14ac:dyDescent="0.25">
      <c r="C495" s="828">
        <v>51</v>
      </c>
      <c r="D495" s="558">
        <f t="shared" si="19"/>
        <v>0</v>
      </c>
      <c r="E495" s="304" t="s">
        <v>89</v>
      </c>
      <c r="F495" s="561" t="s">
        <v>521</v>
      </c>
      <c r="G495" s="561" t="s">
        <v>521</v>
      </c>
      <c r="H495" s="561" t="s">
        <v>521</v>
      </c>
      <c r="I495" s="887">
        <f t="shared" si="20"/>
        <v>0</v>
      </c>
      <c r="J495" s="887">
        <v>0</v>
      </c>
      <c r="K495" s="887">
        <v>0</v>
      </c>
      <c r="L495" s="887">
        <f t="shared" si="21"/>
        <v>0</v>
      </c>
      <c r="M495" s="887">
        <v>0</v>
      </c>
      <c r="N495" s="887">
        <v>0</v>
      </c>
      <c r="O495" s="304" t="s">
        <v>89</v>
      </c>
    </row>
    <row r="496" spans="3:15" x14ac:dyDescent="0.25">
      <c r="C496" s="828">
        <v>52</v>
      </c>
      <c r="D496" s="558">
        <f t="shared" si="19"/>
        <v>0</v>
      </c>
      <c r="E496" s="304" t="s">
        <v>89</v>
      </c>
      <c r="F496" s="561" t="s">
        <v>521</v>
      </c>
      <c r="G496" s="561" t="s">
        <v>521</v>
      </c>
      <c r="H496" s="561" t="s">
        <v>521</v>
      </c>
      <c r="I496" s="887">
        <f t="shared" si="20"/>
        <v>0</v>
      </c>
      <c r="J496" s="887">
        <v>0</v>
      </c>
      <c r="K496" s="887">
        <v>0</v>
      </c>
      <c r="L496" s="887">
        <f t="shared" si="21"/>
        <v>0</v>
      </c>
      <c r="M496" s="887">
        <v>0</v>
      </c>
      <c r="N496" s="887">
        <v>0</v>
      </c>
      <c r="O496" s="304" t="s">
        <v>89</v>
      </c>
    </row>
    <row r="497" spans="3:15" x14ac:dyDescent="0.25">
      <c r="C497" s="828">
        <v>53</v>
      </c>
      <c r="D497" s="558">
        <f t="shared" si="19"/>
        <v>0</v>
      </c>
      <c r="E497" s="304" t="s">
        <v>89</v>
      </c>
      <c r="F497" s="561" t="s">
        <v>521</v>
      </c>
      <c r="G497" s="561" t="s">
        <v>521</v>
      </c>
      <c r="H497" s="561" t="s">
        <v>521</v>
      </c>
      <c r="I497" s="887">
        <f t="shared" si="20"/>
        <v>0</v>
      </c>
      <c r="J497" s="887">
        <v>0</v>
      </c>
      <c r="K497" s="887">
        <v>0</v>
      </c>
      <c r="L497" s="887">
        <f t="shared" si="21"/>
        <v>0</v>
      </c>
      <c r="M497" s="887">
        <v>0</v>
      </c>
      <c r="N497" s="887">
        <v>0</v>
      </c>
      <c r="O497" s="304" t="s">
        <v>89</v>
      </c>
    </row>
    <row r="498" spans="3:15" x14ac:dyDescent="0.25">
      <c r="C498" s="828">
        <v>54</v>
      </c>
      <c r="D498" s="558">
        <f t="shared" si="19"/>
        <v>0</v>
      </c>
      <c r="E498" s="304" t="s">
        <v>89</v>
      </c>
      <c r="F498" s="561" t="s">
        <v>521</v>
      </c>
      <c r="G498" s="561" t="s">
        <v>521</v>
      </c>
      <c r="H498" s="561" t="s">
        <v>521</v>
      </c>
      <c r="I498" s="887">
        <f t="shared" si="20"/>
        <v>0</v>
      </c>
      <c r="J498" s="887">
        <v>0</v>
      </c>
      <c r="K498" s="887">
        <v>0</v>
      </c>
      <c r="L498" s="887">
        <f t="shared" si="21"/>
        <v>0</v>
      </c>
      <c r="M498" s="887">
        <v>0</v>
      </c>
      <c r="N498" s="887">
        <v>0</v>
      </c>
      <c r="O498" s="304" t="s">
        <v>89</v>
      </c>
    </row>
    <row r="499" spans="3:15" x14ac:dyDescent="0.25">
      <c r="C499" s="828">
        <v>55</v>
      </c>
      <c r="D499" s="558">
        <f t="shared" si="19"/>
        <v>0</v>
      </c>
      <c r="E499" s="304" t="s">
        <v>89</v>
      </c>
      <c r="F499" s="561" t="s">
        <v>521</v>
      </c>
      <c r="G499" s="561" t="s">
        <v>521</v>
      </c>
      <c r="H499" s="561" t="s">
        <v>521</v>
      </c>
      <c r="I499" s="887">
        <f t="shared" si="20"/>
        <v>0</v>
      </c>
      <c r="J499" s="887">
        <v>0</v>
      </c>
      <c r="K499" s="887">
        <v>0</v>
      </c>
      <c r="L499" s="887">
        <f t="shared" si="21"/>
        <v>0</v>
      </c>
      <c r="M499" s="887">
        <v>0</v>
      </c>
      <c r="N499" s="887">
        <v>0</v>
      </c>
      <c r="O499" s="304" t="s">
        <v>89</v>
      </c>
    </row>
    <row r="500" spans="3:15" x14ac:dyDescent="0.25">
      <c r="C500" s="828">
        <v>56</v>
      </c>
      <c r="D500" s="558">
        <f t="shared" si="19"/>
        <v>0</v>
      </c>
      <c r="E500" s="304" t="s">
        <v>89</v>
      </c>
      <c r="F500" s="561" t="s">
        <v>521</v>
      </c>
      <c r="G500" s="561" t="s">
        <v>521</v>
      </c>
      <c r="H500" s="561" t="s">
        <v>521</v>
      </c>
      <c r="I500" s="887">
        <f t="shared" si="20"/>
        <v>0</v>
      </c>
      <c r="J500" s="887">
        <v>0</v>
      </c>
      <c r="K500" s="887">
        <v>0</v>
      </c>
      <c r="L500" s="887">
        <f t="shared" si="21"/>
        <v>0</v>
      </c>
      <c r="M500" s="887">
        <v>0</v>
      </c>
      <c r="N500" s="887">
        <v>0</v>
      </c>
      <c r="O500" s="304" t="s">
        <v>89</v>
      </c>
    </row>
    <row r="501" spans="3:15" x14ac:dyDescent="0.25">
      <c r="C501" s="828">
        <v>57</v>
      </c>
      <c r="D501" s="558">
        <f t="shared" si="19"/>
        <v>0</v>
      </c>
      <c r="E501" s="304" t="s">
        <v>89</v>
      </c>
      <c r="F501" s="561" t="s">
        <v>521</v>
      </c>
      <c r="G501" s="561" t="s">
        <v>521</v>
      </c>
      <c r="H501" s="561" t="s">
        <v>521</v>
      </c>
      <c r="I501" s="887">
        <f t="shared" si="20"/>
        <v>0</v>
      </c>
      <c r="J501" s="887">
        <v>0</v>
      </c>
      <c r="K501" s="887">
        <v>0</v>
      </c>
      <c r="L501" s="887">
        <f t="shared" si="21"/>
        <v>0</v>
      </c>
      <c r="M501" s="887">
        <v>0</v>
      </c>
      <c r="N501" s="887">
        <v>0</v>
      </c>
      <c r="O501" s="304" t="s">
        <v>89</v>
      </c>
    </row>
    <row r="502" spans="3:15" x14ac:dyDescent="0.25">
      <c r="C502" s="828">
        <v>58</v>
      </c>
      <c r="D502" s="558">
        <f t="shared" si="19"/>
        <v>0</v>
      </c>
      <c r="E502" s="304" t="s">
        <v>89</v>
      </c>
      <c r="F502" s="561" t="s">
        <v>521</v>
      </c>
      <c r="G502" s="561" t="s">
        <v>521</v>
      </c>
      <c r="H502" s="561" t="s">
        <v>521</v>
      </c>
      <c r="I502" s="887">
        <f t="shared" si="20"/>
        <v>0</v>
      </c>
      <c r="J502" s="887">
        <v>0</v>
      </c>
      <c r="K502" s="887">
        <v>0</v>
      </c>
      <c r="L502" s="887">
        <f t="shared" si="21"/>
        <v>0</v>
      </c>
      <c r="M502" s="887">
        <v>0</v>
      </c>
      <c r="N502" s="887">
        <v>0</v>
      </c>
      <c r="O502" s="304" t="s">
        <v>89</v>
      </c>
    </row>
    <row r="503" spans="3:15" x14ac:dyDescent="0.25">
      <c r="C503" s="828">
        <v>59</v>
      </c>
      <c r="D503" s="558">
        <f t="shared" si="19"/>
        <v>0</v>
      </c>
      <c r="E503" s="304" t="s">
        <v>89</v>
      </c>
      <c r="F503" s="561" t="s">
        <v>521</v>
      </c>
      <c r="G503" s="561" t="s">
        <v>521</v>
      </c>
      <c r="H503" s="561" t="s">
        <v>521</v>
      </c>
      <c r="I503" s="887">
        <f t="shared" si="20"/>
        <v>0</v>
      </c>
      <c r="J503" s="887">
        <v>0</v>
      </c>
      <c r="K503" s="887">
        <v>0</v>
      </c>
      <c r="L503" s="887">
        <f t="shared" si="21"/>
        <v>0</v>
      </c>
      <c r="M503" s="887">
        <v>0</v>
      </c>
      <c r="N503" s="887">
        <v>0</v>
      </c>
      <c r="O503" s="304" t="s">
        <v>89</v>
      </c>
    </row>
    <row r="504" spans="3:15" x14ac:dyDescent="0.25">
      <c r="C504" s="828">
        <v>60</v>
      </c>
      <c r="D504" s="558">
        <f t="shared" si="19"/>
        <v>0</v>
      </c>
      <c r="E504" s="304" t="s">
        <v>89</v>
      </c>
      <c r="F504" s="561" t="s">
        <v>521</v>
      </c>
      <c r="G504" s="561" t="s">
        <v>521</v>
      </c>
      <c r="H504" s="561" t="s">
        <v>521</v>
      </c>
      <c r="I504" s="887">
        <f t="shared" si="20"/>
        <v>0</v>
      </c>
      <c r="J504" s="887">
        <v>0</v>
      </c>
      <c r="K504" s="887">
        <v>0</v>
      </c>
      <c r="L504" s="887">
        <f t="shared" si="21"/>
        <v>0</v>
      </c>
      <c r="M504" s="887">
        <v>0</v>
      </c>
      <c r="N504" s="887">
        <v>0</v>
      </c>
      <c r="O504" s="304" t="s">
        <v>89</v>
      </c>
    </row>
    <row r="505" spans="3:15" x14ac:dyDescent="0.25">
      <c r="C505" s="828">
        <v>61</v>
      </c>
      <c r="D505" s="558">
        <f t="shared" si="19"/>
        <v>0</v>
      </c>
      <c r="E505" s="304" t="s">
        <v>89</v>
      </c>
      <c r="F505" s="561" t="s">
        <v>521</v>
      </c>
      <c r="G505" s="561" t="s">
        <v>521</v>
      </c>
      <c r="H505" s="561" t="s">
        <v>521</v>
      </c>
      <c r="I505" s="887">
        <f t="shared" si="20"/>
        <v>0</v>
      </c>
      <c r="J505" s="887">
        <v>0</v>
      </c>
      <c r="K505" s="887">
        <v>0</v>
      </c>
      <c r="L505" s="887">
        <f t="shared" si="21"/>
        <v>0</v>
      </c>
      <c r="M505" s="887">
        <v>0</v>
      </c>
      <c r="N505" s="887">
        <v>0</v>
      </c>
      <c r="O505" s="304" t="s">
        <v>89</v>
      </c>
    </row>
    <row r="506" spans="3:15" x14ac:dyDescent="0.25">
      <c r="C506" s="828">
        <v>62</v>
      </c>
      <c r="D506" s="558">
        <f t="shared" si="19"/>
        <v>0</v>
      </c>
      <c r="E506" s="304" t="s">
        <v>89</v>
      </c>
      <c r="F506" s="561" t="s">
        <v>521</v>
      </c>
      <c r="G506" s="561" t="s">
        <v>521</v>
      </c>
      <c r="H506" s="561" t="s">
        <v>521</v>
      </c>
      <c r="I506" s="887">
        <f t="shared" si="20"/>
        <v>0</v>
      </c>
      <c r="J506" s="887">
        <v>0</v>
      </c>
      <c r="K506" s="887">
        <v>0</v>
      </c>
      <c r="L506" s="887">
        <f t="shared" si="21"/>
        <v>0</v>
      </c>
      <c r="M506" s="887">
        <v>0</v>
      </c>
      <c r="N506" s="887">
        <v>0</v>
      </c>
      <c r="O506" s="304" t="s">
        <v>89</v>
      </c>
    </row>
    <row r="507" spans="3:15" x14ac:dyDescent="0.25">
      <c r="C507" s="828">
        <v>63</v>
      </c>
      <c r="D507" s="558">
        <f t="shared" si="19"/>
        <v>0</v>
      </c>
      <c r="E507" s="304" t="s">
        <v>89</v>
      </c>
      <c r="F507" s="561" t="s">
        <v>521</v>
      </c>
      <c r="G507" s="561" t="s">
        <v>521</v>
      </c>
      <c r="H507" s="561" t="s">
        <v>521</v>
      </c>
      <c r="I507" s="887">
        <f t="shared" si="20"/>
        <v>0</v>
      </c>
      <c r="J507" s="887">
        <v>0</v>
      </c>
      <c r="K507" s="887">
        <v>0</v>
      </c>
      <c r="L507" s="887">
        <f t="shared" si="21"/>
        <v>0</v>
      </c>
      <c r="M507" s="887">
        <v>0</v>
      </c>
      <c r="N507" s="887">
        <v>0</v>
      </c>
      <c r="O507" s="304" t="s">
        <v>89</v>
      </c>
    </row>
    <row r="508" spans="3:15" x14ac:dyDescent="0.25">
      <c r="C508" s="828">
        <v>64</v>
      </c>
      <c r="D508" s="558">
        <f t="shared" si="19"/>
        <v>0</v>
      </c>
      <c r="E508" s="304" t="s">
        <v>89</v>
      </c>
      <c r="F508" s="561" t="s">
        <v>521</v>
      </c>
      <c r="G508" s="561" t="s">
        <v>521</v>
      </c>
      <c r="H508" s="561" t="s">
        <v>521</v>
      </c>
      <c r="I508" s="887">
        <f t="shared" si="20"/>
        <v>0</v>
      </c>
      <c r="J508" s="887">
        <v>0</v>
      </c>
      <c r="K508" s="887">
        <v>0</v>
      </c>
      <c r="L508" s="887">
        <f t="shared" si="21"/>
        <v>0</v>
      </c>
      <c r="M508" s="887">
        <v>0</v>
      </c>
      <c r="N508" s="887">
        <v>0</v>
      </c>
      <c r="O508" s="304" t="s">
        <v>89</v>
      </c>
    </row>
    <row r="509" spans="3:15" x14ac:dyDescent="0.25">
      <c r="C509" s="828">
        <v>65</v>
      </c>
      <c r="D509" s="558">
        <f t="shared" si="19"/>
        <v>0</v>
      </c>
      <c r="E509" s="304" t="s">
        <v>89</v>
      </c>
      <c r="F509" s="561" t="s">
        <v>521</v>
      </c>
      <c r="G509" s="561" t="s">
        <v>521</v>
      </c>
      <c r="H509" s="561" t="s">
        <v>521</v>
      </c>
      <c r="I509" s="887">
        <f t="shared" si="20"/>
        <v>0</v>
      </c>
      <c r="J509" s="887">
        <v>0</v>
      </c>
      <c r="K509" s="887">
        <v>0</v>
      </c>
      <c r="L509" s="887">
        <f t="shared" si="21"/>
        <v>0</v>
      </c>
      <c r="M509" s="887">
        <v>0</v>
      </c>
      <c r="N509" s="887">
        <v>0</v>
      </c>
      <c r="O509" s="304" t="s">
        <v>89</v>
      </c>
    </row>
    <row r="510" spans="3:15" x14ac:dyDescent="0.25">
      <c r="C510" s="828">
        <v>66</v>
      </c>
      <c r="D510" s="558">
        <f t="shared" ref="D510:D534" si="22">SUM(F510:I510)</f>
        <v>0</v>
      </c>
      <c r="E510" s="304" t="s">
        <v>89</v>
      </c>
      <c r="F510" s="561" t="s">
        <v>521</v>
      </c>
      <c r="G510" s="561" t="s">
        <v>521</v>
      </c>
      <c r="H510" s="561" t="s">
        <v>521</v>
      </c>
      <c r="I510" s="887">
        <f t="shared" ref="I510:I534" si="23">SUM(J510:K510)</f>
        <v>0</v>
      </c>
      <c r="J510" s="887">
        <v>0</v>
      </c>
      <c r="K510" s="887">
        <v>0</v>
      </c>
      <c r="L510" s="887">
        <f t="shared" ref="L510:L534" si="24">SUM(M510:N510)</f>
        <v>0</v>
      </c>
      <c r="M510" s="887">
        <v>0</v>
      </c>
      <c r="N510" s="887">
        <v>0</v>
      </c>
      <c r="O510" s="304" t="s">
        <v>89</v>
      </c>
    </row>
    <row r="511" spans="3:15" x14ac:dyDescent="0.25">
      <c r="C511" s="828">
        <v>67</v>
      </c>
      <c r="D511" s="558">
        <f t="shared" si="22"/>
        <v>0</v>
      </c>
      <c r="E511" s="304" t="s">
        <v>89</v>
      </c>
      <c r="F511" s="561" t="s">
        <v>521</v>
      </c>
      <c r="G511" s="561" t="s">
        <v>521</v>
      </c>
      <c r="H511" s="561" t="s">
        <v>521</v>
      </c>
      <c r="I511" s="887">
        <f t="shared" si="23"/>
        <v>0</v>
      </c>
      <c r="J511" s="887">
        <v>0</v>
      </c>
      <c r="K511" s="887">
        <v>0</v>
      </c>
      <c r="L511" s="887">
        <f t="shared" si="24"/>
        <v>0</v>
      </c>
      <c r="M511" s="887">
        <v>0</v>
      </c>
      <c r="N511" s="887">
        <v>0</v>
      </c>
      <c r="O511" s="304" t="s">
        <v>89</v>
      </c>
    </row>
    <row r="512" spans="3:15" x14ac:dyDescent="0.25">
      <c r="C512" s="828">
        <v>68</v>
      </c>
      <c r="D512" s="558">
        <f t="shared" si="22"/>
        <v>0</v>
      </c>
      <c r="E512" s="304" t="s">
        <v>89</v>
      </c>
      <c r="F512" s="561" t="s">
        <v>521</v>
      </c>
      <c r="G512" s="561" t="s">
        <v>521</v>
      </c>
      <c r="H512" s="561" t="s">
        <v>521</v>
      </c>
      <c r="I512" s="887">
        <f t="shared" si="23"/>
        <v>0</v>
      </c>
      <c r="J512" s="887">
        <v>0</v>
      </c>
      <c r="K512" s="887">
        <v>0</v>
      </c>
      <c r="L512" s="887">
        <f t="shared" si="24"/>
        <v>0</v>
      </c>
      <c r="M512" s="887">
        <v>0</v>
      </c>
      <c r="N512" s="887">
        <v>0</v>
      </c>
      <c r="O512" s="304" t="s">
        <v>89</v>
      </c>
    </row>
    <row r="513" spans="3:15" x14ac:dyDescent="0.25">
      <c r="C513" s="828">
        <v>69</v>
      </c>
      <c r="D513" s="558">
        <f t="shared" si="22"/>
        <v>0</v>
      </c>
      <c r="E513" s="304" t="s">
        <v>89</v>
      </c>
      <c r="F513" s="561" t="s">
        <v>521</v>
      </c>
      <c r="G513" s="561" t="s">
        <v>521</v>
      </c>
      <c r="H513" s="561" t="s">
        <v>521</v>
      </c>
      <c r="I513" s="887">
        <f t="shared" si="23"/>
        <v>0</v>
      </c>
      <c r="J513" s="887">
        <v>0</v>
      </c>
      <c r="K513" s="887">
        <v>0</v>
      </c>
      <c r="L513" s="887">
        <f t="shared" si="24"/>
        <v>0</v>
      </c>
      <c r="M513" s="887">
        <v>0</v>
      </c>
      <c r="N513" s="887">
        <v>0</v>
      </c>
      <c r="O513" s="304" t="s">
        <v>89</v>
      </c>
    </row>
    <row r="514" spans="3:15" x14ac:dyDescent="0.25">
      <c r="C514" s="828">
        <v>70</v>
      </c>
      <c r="D514" s="558">
        <f t="shared" si="22"/>
        <v>0</v>
      </c>
      <c r="E514" s="304" t="s">
        <v>89</v>
      </c>
      <c r="F514" s="561" t="s">
        <v>521</v>
      </c>
      <c r="G514" s="561" t="s">
        <v>521</v>
      </c>
      <c r="H514" s="561" t="s">
        <v>521</v>
      </c>
      <c r="I514" s="887">
        <f t="shared" si="23"/>
        <v>0</v>
      </c>
      <c r="J514" s="887">
        <v>0</v>
      </c>
      <c r="K514" s="887">
        <v>0</v>
      </c>
      <c r="L514" s="887">
        <f t="shared" si="24"/>
        <v>0</v>
      </c>
      <c r="M514" s="887">
        <v>0</v>
      </c>
      <c r="N514" s="887">
        <v>0</v>
      </c>
      <c r="O514" s="304" t="s">
        <v>89</v>
      </c>
    </row>
    <row r="515" spans="3:15" x14ac:dyDescent="0.25">
      <c r="C515" s="828">
        <v>71</v>
      </c>
      <c r="D515" s="558">
        <f t="shared" si="22"/>
        <v>0</v>
      </c>
      <c r="E515" s="304" t="s">
        <v>89</v>
      </c>
      <c r="F515" s="561" t="s">
        <v>521</v>
      </c>
      <c r="G515" s="561" t="s">
        <v>521</v>
      </c>
      <c r="H515" s="561" t="s">
        <v>521</v>
      </c>
      <c r="I515" s="887">
        <f t="shared" si="23"/>
        <v>0</v>
      </c>
      <c r="J515" s="887">
        <v>0</v>
      </c>
      <c r="K515" s="887">
        <v>0</v>
      </c>
      <c r="L515" s="887">
        <f t="shared" si="24"/>
        <v>0</v>
      </c>
      <c r="M515" s="887">
        <v>0</v>
      </c>
      <c r="N515" s="887">
        <v>0</v>
      </c>
      <c r="O515" s="304" t="s">
        <v>89</v>
      </c>
    </row>
    <row r="516" spans="3:15" x14ac:dyDescent="0.25">
      <c r="C516" s="828">
        <v>72</v>
      </c>
      <c r="D516" s="558">
        <f t="shared" si="22"/>
        <v>0</v>
      </c>
      <c r="E516" s="304" t="s">
        <v>89</v>
      </c>
      <c r="F516" s="561" t="s">
        <v>521</v>
      </c>
      <c r="G516" s="561" t="s">
        <v>521</v>
      </c>
      <c r="H516" s="561" t="s">
        <v>521</v>
      </c>
      <c r="I516" s="887">
        <f t="shared" si="23"/>
        <v>0</v>
      </c>
      <c r="J516" s="887">
        <v>0</v>
      </c>
      <c r="K516" s="887">
        <v>0</v>
      </c>
      <c r="L516" s="887">
        <f t="shared" si="24"/>
        <v>0</v>
      </c>
      <c r="M516" s="887">
        <v>0</v>
      </c>
      <c r="N516" s="887">
        <v>0</v>
      </c>
      <c r="O516" s="304" t="s">
        <v>89</v>
      </c>
    </row>
    <row r="517" spans="3:15" x14ac:dyDescent="0.25">
      <c r="C517" s="828">
        <v>73</v>
      </c>
      <c r="D517" s="558">
        <f t="shared" si="22"/>
        <v>0</v>
      </c>
      <c r="E517" s="304" t="s">
        <v>89</v>
      </c>
      <c r="F517" s="561" t="s">
        <v>521</v>
      </c>
      <c r="G517" s="561" t="s">
        <v>521</v>
      </c>
      <c r="H517" s="561" t="s">
        <v>521</v>
      </c>
      <c r="I517" s="887">
        <f t="shared" si="23"/>
        <v>0</v>
      </c>
      <c r="J517" s="887">
        <v>0</v>
      </c>
      <c r="K517" s="887">
        <v>0</v>
      </c>
      <c r="L517" s="887">
        <f t="shared" si="24"/>
        <v>0</v>
      </c>
      <c r="M517" s="887">
        <v>0</v>
      </c>
      <c r="N517" s="887">
        <v>0</v>
      </c>
      <c r="O517" s="304" t="s">
        <v>89</v>
      </c>
    </row>
    <row r="518" spans="3:15" x14ac:dyDescent="0.25">
      <c r="C518" s="828">
        <v>74</v>
      </c>
      <c r="D518" s="558">
        <f t="shared" si="22"/>
        <v>0</v>
      </c>
      <c r="E518" s="304" t="s">
        <v>89</v>
      </c>
      <c r="F518" s="561" t="s">
        <v>521</v>
      </c>
      <c r="G518" s="561" t="s">
        <v>521</v>
      </c>
      <c r="H518" s="561" t="s">
        <v>521</v>
      </c>
      <c r="I518" s="887">
        <f t="shared" si="23"/>
        <v>0</v>
      </c>
      <c r="J518" s="887">
        <v>0</v>
      </c>
      <c r="K518" s="887">
        <v>0</v>
      </c>
      <c r="L518" s="887">
        <f t="shared" si="24"/>
        <v>0</v>
      </c>
      <c r="M518" s="887">
        <v>0</v>
      </c>
      <c r="N518" s="887">
        <v>0</v>
      </c>
      <c r="O518" s="304" t="s">
        <v>89</v>
      </c>
    </row>
    <row r="519" spans="3:15" x14ac:dyDescent="0.25">
      <c r="C519" s="828">
        <v>75</v>
      </c>
      <c r="D519" s="558">
        <f t="shared" si="22"/>
        <v>0</v>
      </c>
      <c r="E519" s="304" t="s">
        <v>89</v>
      </c>
      <c r="F519" s="561" t="s">
        <v>521</v>
      </c>
      <c r="G519" s="561" t="s">
        <v>521</v>
      </c>
      <c r="H519" s="561" t="s">
        <v>521</v>
      </c>
      <c r="I519" s="887">
        <f t="shared" si="23"/>
        <v>0</v>
      </c>
      <c r="J519" s="887">
        <v>0</v>
      </c>
      <c r="K519" s="887">
        <v>0</v>
      </c>
      <c r="L519" s="887">
        <f t="shared" si="24"/>
        <v>0</v>
      </c>
      <c r="M519" s="887">
        <v>0</v>
      </c>
      <c r="N519" s="887">
        <v>0</v>
      </c>
      <c r="O519" s="304" t="s">
        <v>89</v>
      </c>
    </row>
    <row r="520" spans="3:15" x14ac:dyDescent="0.25">
      <c r="C520" s="828">
        <v>76</v>
      </c>
      <c r="D520" s="558">
        <f t="shared" si="22"/>
        <v>0</v>
      </c>
      <c r="E520" s="304" t="s">
        <v>89</v>
      </c>
      <c r="F520" s="561" t="s">
        <v>521</v>
      </c>
      <c r="G520" s="561" t="s">
        <v>521</v>
      </c>
      <c r="H520" s="561" t="s">
        <v>521</v>
      </c>
      <c r="I520" s="887">
        <f t="shared" si="23"/>
        <v>0</v>
      </c>
      <c r="J520" s="887">
        <v>0</v>
      </c>
      <c r="K520" s="887">
        <v>0</v>
      </c>
      <c r="L520" s="887">
        <f t="shared" si="24"/>
        <v>0</v>
      </c>
      <c r="M520" s="887">
        <v>0</v>
      </c>
      <c r="N520" s="887">
        <v>0</v>
      </c>
      <c r="O520" s="304" t="s">
        <v>89</v>
      </c>
    </row>
    <row r="521" spans="3:15" x14ac:dyDescent="0.25">
      <c r="C521" s="828">
        <v>77</v>
      </c>
      <c r="D521" s="558">
        <f t="shared" si="22"/>
        <v>0</v>
      </c>
      <c r="E521" s="304" t="s">
        <v>89</v>
      </c>
      <c r="F521" s="561" t="s">
        <v>521</v>
      </c>
      <c r="G521" s="561" t="s">
        <v>521</v>
      </c>
      <c r="H521" s="561" t="s">
        <v>521</v>
      </c>
      <c r="I521" s="887">
        <f t="shared" si="23"/>
        <v>0</v>
      </c>
      <c r="J521" s="887">
        <v>0</v>
      </c>
      <c r="K521" s="887">
        <v>0</v>
      </c>
      <c r="L521" s="887">
        <f t="shared" si="24"/>
        <v>0</v>
      </c>
      <c r="M521" s="887">
        <v>0</v>
      </c>
      <c r="N521" s="887">
        <v>0</v>
      </c>
      <c r="O521" s="304" t="s">
        <v>89</v>
      </c>
    </row>
    <row r="522" spans="3:15" x14ac:dyDescent="0.25">
      <c r="C522" s="828">
        <v>78</v>
      </c>
      <c r="D522" s="558">
        <f t="shared" si="22"/>
        <v>0</v>
      </c>
      <c r="E522" s="304" t="s">
        <v>89</v>
      </c>
      <c r="F522" s="561" t="s">
        <v>521</v>
      </c>
      <c r="G522" s="561" t="s">
        <v>521</v>
      </c>
      <c r="H522" s="561" t="s">
        <v>521</v>
      </c>
      <c r="I522" s="887">
        <f t="shared" si="23"/>
        <v>0</v>
      </c>
      <c r="J522" s="887">
        <v>0</v>
      </c>
      <c r="K522" s="887">
        <v>0</v>
      </c>
      <c r="L522" s="887">
        <f t="shared" si="24"/>
        <v>0</v>
      </c>
      <c r="M522" s="887">
        <v>0</v>
      </c>
      <c r="N522" s="887">
        <v>0</v>
      </c>
      <c r="O522" s="304" t="s">
        <v>89</v>
      </c>
    </row>
    <row r="523" spans="3:15" x14ac:dyDescent="0.25">
      <c r="C523" s="828">
        <v>79</v>
      </c>
      <c r="D523" s="558">
        <f t="shared" si="22"/>
        <v>0</v>
      </c>
      <c r="E523" s="304" t="s">
        <v>89</v>
      </c>
      <c r="F523" s="561" t="s">
        <v>521</v>
      </c>
      <c r="G523" s="561" t="s">
        <v>521</v>
      </c>
      <c r="H523" s="561" t="s">
        <v>521</v>
      </c>
      <c r="I523" s="887">
        <f t="shared" si="23"/>
        <v>0</v>
      </c>
      <c r="J523" s="887">
        <v>0</v>
      </c>
      <c r="K523" s="887">
        <v>0</v>
      </c>
      <c r="L523" s="887">
        <f t="shared" si="24"/>
        <v>0</v>
      </c>
      <c r="M523" s="887">
        <v>0</v>
      </c>
      <c r="N523" s="887">
        <v>0</v>
      </c>
      <c r="O523" s="304" t="s">
        <v>89</v>
      </c>
    </row>
    <row r="524" spans="3:15" x14ac:dyDescent="0.25">
      <c r="C524" s="828">
        <v>80</v>
      </c>
      <c r="D524" s="558">
        <f t="shared" si="22"/>
        <v>0</v>
      </c>
      <c r="E524" s="304" t="s">
        <v>89</v>
      </c>
      <c r="F524" s="561" t="s">
        <v>521</v>
      </c>
      <c r="G524" s="561" t="s">
        <v>521</v>
      </c>
      <c r="H524" s="561" t="s">
        <v>521</v>
      </c>
      <c r="I524" s="887">
        <f t="shared" si="23"/>
        <v>0</v>
      </c>
      <c r="J524" s="887">
        <v>0</v>
      </c>
      <c r="K524" s="887">
        <v>0</v>
      </c>
      <c r="L524" s="887">
        <f t="shared" si="24"/>
        <v>0</v>
      </c>
      <c r="M524" s="887">
        <v>0</v>
      </c>
      <c r="N524" s="887">
        <v>0</v>
      </c>
      <c r="O524" s="304" t="s">
        <v>89</v>
      </c>
    </row>
    <row r="525" spans="3:15" x14ac:dyDescent="0.25">
      <c r="C525" s="828">
        <v>81</v>
      </c>
      <c r="D525" s="558">
        <f t="shared" si="22"/>
        <v>0</v>
      </c>
      <c r="E525" s="304" t="s">
        <v>89</v>
      </c>
      <c r="F525" s="561" t="s">
        <v>521</v>
      </c>
      <c r="G525" s="561" t="s">
        <v>521</v>
      </c>
      <c r="H525" s="561" t="s">
        <v>521</v>
      </c>
      <c r="I525" s="887">
        <f t="shared" si="23"/>
        <v>0</v>
      </c>
      <c r="J525" s="887">
        <v>0</v>
      </c>
      <c r="K525" s="887">
        <v>0</v>
      </c>
      <c r="L525" s="887">
        <f t="shared" si="24"/>
        <v>0</v>
      </c>
      <c r="M525" s="887">
        <v>0</v>
      </c>
      <c r="N525" s="887">
        <v>0</v>
      </c>
      <c r="O525" s="304" t="s">
        <v>89</v>
      </c>
    </row>
    <row r="526" spans="3:15" x14ac:dyDescent="0.25">
      <c r="C526" s="828">
        <v>82</v>
      </c>
      <c r="D526" s="558">
        <f t="shared" si="22"/>
        <v>0</v>
      </c>
      <c r="E526" s="304" t="s">
        <v>89</v>
      </c>
      <c r="F526" s="561" t="s">
        <v>521</v>
      </c>
      <c r="G526" s="561" t="s">
        <v>521</v>
      </c>
      <c r="H526" s="561" t="s">
        <v>521</v>
      </c>
      <c r="I526" s="887">
        <f t="shared" si="23"/>
        <v>0</v>
      </c>
      <c r="J526" s="887">
        <v>0</v>
      </c>
      <c r="K526" s="887">
        <v>0</v>
      </c>
      <c r="L526" s="887">
        <f t="shared" si="24"/>
        <v>0</v>
      </c>
      <c r="M526" s="887">
        <v>0</v>
      </c>
      <c r="N526" s="887">
        <v>0</v>
      </c>
      <c r="O526" s="304" t="s">
        <v>89</v>
      </c>
    </row>
    <row r="527" spans="3:15" x14ac:dyDescent="0.25">
      <c r="C527" s="828">
        <v>83</v>
      </c>
      <c r="D527" s="558">
        <f t="shared" si="22"/>
        <v>0</v>
      </c>
      <c r="E527" s="304" t="s">
        <v>89</v>
      </c>
      <c r="F527" s="561" t="s">
        <v>521</v>
      </c>
      <c r="G527" s="561" t="s">
        <v>521</v>
      </c>
      <c r="H527" s="561" t="s">
        <v>521</v>
      </c>
      <c r="I527" s="887">
        <f t="shared" si="23"/>
        <v>0</v>
      </c>
      <c r="J527" s="887">
        <v>0</v>
      </c>
      <c r="K527" s="887">
        <v>0</v>
      </c>
      <c r="L527" s="887">
        <f t="shared" si="24"/>
        <v>0</v>
      </c>
      <c r="M527" s="887">
        <v>0</v>
      </c>
      <c r="N527" s="887">
        <v>0</v>
      </c>
      <c r="O527" s="304" t="s">
        <v>89</v>
      </c>
    </row>
    <row r="528" spans="3:15" x14ac:dyDescent="0.25">
      <c r="C528" s="828">
        <v>84</v>
      </c>
      <c r="D528" s="558">
        <f t="shared" si="22"/>
        <v>0</v>
      </c>
      <c r="E528" s="304" t="s">
        <v>89</v>
      </c>
      <c r="F528" s="561" t="s">
        <v>521</v>
      </c>
      <c r="G528" s="561" t="s">
        <v>521</v>
      </c>
      <c r="H528" s="561" t="s">
        <v>521</v>
      </c>
      <c r="I528" s="887">
        <f t="shared" si="23"/>
        <v>0</v>
      </c>
      <c r="J528" s="887">
        <v>0</v>
      </c>
      <c r="K528" s="887">
        <v>0</v>
      </c>
      <c r="L528" s="887">
        <f t="shared" si="24"/>
        <v>0</v>
      </c>
      <c r="M528" s="887">
        <v>0</v>
      </c>
      <c r="N528" s="887">
        <v>0</v>
      </c>
      <c r="O528" s="304" t="s">
        <v>89</v>
      </c>
    </row>
    <row r="529" spans="1:15" x14ac:dyDescent="0.25">
      <c r="C529" s="828">
        <v>85</v>
      </c>
      <c r="D529" s="558">
        <f t="shared" si="22"/>
        <v>0</v>
      </c>
      <c r="E529" s="304" t="s">
        <v>89</v>
      </c>
      <c r="F529" s="561" t="s">
        <v>521</v>
      </c>
      <c r="G529" s="561" t="s">
        <v>521</v>
      </c>
      <c r="H529" s="561" t="s">
        <v>521</v>
      </c>
      <c r="I529" s="887">
        <f t="shared" si="23"/>
        <v>0</v>
      </c>
      <c r="J529" s="887">
        <v>0</v>
      </c>
      <c r="K529" s="887">
        <v>0</v>
      </c>
      <c r="L529" s="887">
        <f t="shared" si="24"/>
        <v>0</v>
      </c>
      <c r="M529" s="887">
        <v>0</v>
      </c>
      <c r="N529" s="887">
        <v>0</v>
      </c>
      <c r="O529" s="304" t="s">
        <v>89</v>
      </c>
    </row>
    <row r="530" spans="1:15" x14ac:dyDescent="0.25">
      <c r="C530" s="828">
        <v>86</v>
      </c>
      <c r="D530" s="558">
        <f t="shared" si="22"/>
        <v>0</v>
      </c>
      <c r="E530" s="304" t="s">
        <v>89</v>
      </c>
      <c r="F530" s="561" t="s">
        <v>521</v>
      </c>
      <c r="G530" s="561" t="s">
        <v>521</v>
      </c>
      <c r="H530" s="561" t="s">
        <v>521</v>
      </c>
      <c r="I530" s="887">
        <f t="shared" si="23"/>
        <v>0</v>
      </c>
      <c r="J530" s="887">
        <v>0</v>
      </c>
      <c r="K530" s="887">
        <v>0</v>
      </c>
      <c r="L530" s="887">
        <f t="shared" si="24"/>
        <v>0</v>
      </c>
      <c r="M530" s="887">
        <v>0</v>
      </c>
      <c r="N530" s="887">
        <v>0</v>
      </c>
      <c r="O530" s="304" t="s">
        <v>89</v>
      </c>
    </row>
    <row r="531" spans="1:15" x14ac:dyDescent="0.25">
      <c r="C531" s="828">
        <v>87</v>
      </c>
      <c r="D531" s="558">
        <f t="shared" si="22"/>
        <v>0</v>
      </c>
      <c r="E531" s="304" t="s">
        <v>89</v>
      </c>
      <c r="F531" s="561" t="s">
        <v>521</v>
      </c>
      <c r="G531" s="561" t="s">
        <v>521</v>
      </c>
      <c r="H531" s="561" t="s">
        <v>521</v>
      </c>
      <c r="I531" s="887">
        <f t="shared" si="23"/>
        <v>0</v>
      </c>
      <c r="J531" s="887">
        <v>0</v>
      </c>
      <c r="K531" s="887">
        <v>0</v>
      </c>
      <c r="L531" s="887">
        <f t="shared" si="24"/>
        <v>0</v>
      </c>
      <c r="M531" s="887">
        <v>0</v>
      </c>
      <c r="N531" s="887">
        <v>0</v>
      </c>
      <c r="O531" s="304" t="s">
        <v>89</v>
      </c>
    </row>
    <row r="532" spans="1:15" x14ac:dyDescent="0.25">
      <c r="C532" s="828">
        <v>88</v>
      </c>
      <c r="D532" s="558">
        <f t="shared" si="22"/>
        <v>0</v>
      </c>
      <c r="E532" s="304" t="s">
        <v>89</v>
      </c>
      <c r="F532" s="561" t="s">
        <v>521</v>
      </c>
      <c r="G532" s="561" t="s">
        <v>521</v>
      </c>
      <c r="H532" s="561" t="s">
        <v>521</v>
      </c>
      <c r="I532" s="887">
        <f t="shared" si="23"/>
        <v>0</v>
      </c>
      <c r="J532" s="887">
        <v>0</v>
      </c>
      <c r="K532" s="887">
        <v>0</v>
      </c>
      <c r="L532" s="887">
        <f t="shared" si="24"/>
        <v>0</v>
      </c>
      <c r="M532" s="887">
        <v>0</v>
      </c>
      <c r="N532" s="887">
        <v>0</v>
      </c>
      <c r="O532" s="304" t="s">
        <v>89</v>
      </c>
    </row>
    <row r="533" spans="1:15" x14ac:dyDescent="0.25">
      <c r="C533" s="828">
        <v>89</v>
      </c>
      <c r="D533" s="558">
        <f t="shared" si="22"/>
        <v>0</v>
      </c>
      <c r="E533" s="304" t="s">
        <v>89</v>
      </c>
      <c r="F533" s="561" t="s">
        <v>521</v>
      </c>
      <c r="G533" s="561" t="s">
        <v>521</v>
      </c>
      <c r="H533" s="561" t="s">
        <v>521</v>
      </c>
      <c r="I533" s="887">
        <f t="shared" si="23"/>
        <v>0</v>
      </c>
      <c r="J533" s="887">
        <v>0</v>
      </c>
      <c r="K533" s="887">
        <v>0</v>
      </c>
      <c r="L533" s="887">
        <f t="shared" si="24"/>
        <v>0</v>
      </c>
      <c r="M533" s="887">
        <v>0</v>
      </c>
      <c r="N533" s="887">
        <v>0</v>
      </c>
      <c r="O533" s="304" t="s">
        <v>89</v>
      </c>
    </row>
    <row r="534" spans="1:15" x14ac:dyDescent="0.25">
      <c r="C534" s="828" t="s">
        <v>509</v>
      </c>
      <c r="D534" s="559">
        <f t="shared" si="22"/>
        <v>0</v>
      </c>
      <c r="E534" s="308" t="s">
        <v>89</v>
      </c>
      <c r="F534" s="562" t="s">
        <v>521</v>
      </c>
      <c r="G534" s="562" t="s">
        <v>521</v>
      </c>
      <c r="H534" s="562" t="s">
        <v>521</v>
      </c>
      <c r="I534" s="888">
        <f t="shared" si="23"/>
        <v>0</v>
      </c>
      <c r="J534" s="888">
        <v>0</v>
      </c>
      <c r="K534" s="888">
        <v>0</v>
      </c>
      <c r="L534" s="888">
        <f t="shared" si="24"/>
        <v>0</v>
      </c>
      <c r="M534" s="888">
        <v>0</v>
      </c>
      <c r="N534" s="888">
        <v>0</v>
      </c>
      <c r="O534" s="304" t="s">
        <v>89</v>
      </c>
    </row>
    <row r="535" spans="1:15" x14ac:dyDescent="0.25">
      <c r="O535" s="304" t="s">
        <v>89</v>
      </c>
    </row>
    <row r="536" spans="1:15" x14ac:dyDescent="0.25">
      <c r="A536" s="312" t="s">
        <v>89</v>
      </c>
      <c r="B536" s="312" t="s">
        <v>89</v>
      </c>
      <c r="C536" s="312" t="s">
        <v>89</v>
      </c>
      <c r="D536" s="312" t="s">
        <v>89</v>
      </c>
      <c r="E536" s="312" t="s">
        <v>89</v>
      </c>
      <c r="F536" s="312" t="s">
        <v>89</v>
      </c>
      <c r="G536" s="312" t="s">
        <v>89</v>
      </c>
      <c r="H536" s="312" t="s">
        <v>89</v>
      </c>
      <c r="I536" s="312" t="s">
        <v>89</v>
      </c>
      <c r="J536" s="312" t="s">
        <v>89</v>
      </c>
      <c r="K536" s="312" t="s">
        <v>89</v>
      </c>
      <c r="L536" s="312" t="s">
        <v>89</v>
      </c>
      <c r="M536" s="312" t="s">
        <v>89</v>
      </c>
      <c r="N536" s="312" t="s">
        <v>89</v>
      </c>
      <c r="O536" s="304" t="s">
        <v>89</v>
      </c>
    </row>
  </sheetData>
  <mergeCells count="123">
    <mergeCell ref="C4:C5"/>
    <mergeCell ref="D4:D5"/>
    <mergeCell ref="M9:N11"/>
    <mergeCell ref="J10:K11"/>
    <mergeCell ref="I31:J31"/>
    <mergeCell ref="C36:C37"/>
    <mergeCell ref="D36:D37"/>
    <mergeCell ref="T75:T76"/>
    <mergeCell ref="U75:U76"/>
    <mergeCell ref="V75:V76"/>
    <mergeCell ref="C87:D87"/>
    <mergeCell ref="C97:C98"/>
    <mergeCell ref="D97:D98"/>
    <mergeCell ref="C63:C64"/>
    <mergeCell ref="D63:D64"/>
    <mergeCell ref="C66:C67"/>
    <mergeCell ref="D66:D67"/>
    <mergeCell ref="R75:R76"/>
    <mergeCell ref="S75:S76"/>
    <mergeCell ref="J137:L137"/>
    <mergeCell ref="C138:D138"/>
    <mergeCell ref="C139:D139"/>
    <mergeCell ref="X100:X101"/>
    <mergeCell ref="C131:C132"/>
    <mergeCell ref="D131:D132"/>
    <mergeCell ref="C134:D134"/>
    <mergeCell ref="H134:I134"/>
    <mergeCell ref="M134:N134"/>
    <mergeCell ref="R100:R101"/>
    <mergeCell ref="S100:S101"/>
    <mergeCell ref="T100:T101"/>
    <mergeCell ref="U100:U101"/>
    <mergeCell ref="V100:V101"/>
    <mergeCell ref="W100:W101"/>
    <mergeCell ref="C140:D140"/>
    <mergeCell ref="C141:D141"/>
    <mergeCell ref="C142:D142"/>
    <mergeCell ref="C143:D143"/>
    <mergeCell ref="C144:D144"/>
    <mergeCell ref="C145:D145"/>
    <mergeCell ref="C135:D135"/>
    <mergeCell ref="C136:D136"/>
    <mergeCell ref="C137:D137"/>
    <mergeCell ref="C152:D152"/>
    <mergeCell ref="J152:L152"/>
    <mergeCell ref="C153:D153"/>
    <mergeCell ref="C154:D154"/>
    <mergeCell ref="C155:D155"/>
    <mergeCell ref="C156:D156"/>
    <mergeCell ref="C146:D146"/>
    <mergeCell ref="C147:D147"/>
    <mergeCell ref="C148:D148"/>
    <mergeCell ref="C149:D149"/>
    <mergeCell ref="C150:D150"/>
    <mergeCell ref="C151:D151"/>
    <mergeCell ref="M164:N164"/>
    <mergeCell ref="C165:D165"/>
    <mergeCell ref="C166:D166"/>
    <mergeCell ref="C167:D167"/>
    <mergeCell ref="C168:D168"/>
    <mergeCell ref="C169:D169"/>
    <mergeCell ref="C157:D157"/>
    <mergeCell ref="C158:D158"/>
    <mergeCell ref="C159:D159"/>
    <mergeCell ref="C161:C162"/>
    <mergeCell ref="D161:D162"/>
    <mergeCell ref="C164:D164"/>
    <mergeCell ref="J202:L202"/>
    <mergeCell ref="C175:D175"/>
    <mergeCell ref="C176:D176"/>
    <mergeCell ref="C178:C179"/>
    <mergeCell ref="D178:D179"/>
    <mergeCell ref="C196:D196"/>
    <mergeCell ref="C197:D197"/>
    <mergeCell ref="C170:D170"/>
    <mergeCell ref="J170:L170"/>
    <mergeCell ref="C171:D171"/>
    <mergeCell ref="C172:D172"/>
    <mergeCell ref="C173:D173"/>
    <mergeCell ref="C174:D174"/>
    <mergeCell ref="C203:D203"/>
    <mergeCell ref="C204:D204"/>
    <mergeCell ref="C205:D205"/>
    <mergeCell ref="C206:D206"/>
    <mergeCell ref="C211:D211"/>
    <mergeCell ref="C212:D212"/>
    <mergeCell ref="C207:D207"/>
    <mergeCell ref="C198:D198"/>
    <mergeCell ref="C199:D199"/>
    <mergeCell ref="C200:D200"/>
    <mergeCell ref="C201:D201"/>
    <mergeCell ref="C202:D202"/>
    <mergeCell ref="H325:M325"/>
    <mergeCell ref="H326:M326"/>
    <mergeCell ref="F270:G270"/>
    <mergeCell ref="F271:G271"/>
    <mergeCell ref="F272:G272"/>
    <mergeCell ref="F273:G273"/>
    <mergeCell ref="F274:G274"/>
    <mergeCell ref="C341:C342"/>
    <mergeCell ref="D341:D342"/>
    <mergeCell ref="H316:M316"/>
    <mergeCell ref="H317:M317"/>
    <mergeCell ref="H318:M318"/>
    <mergeCell ref="H319:M319"/>
    <mergeCell ref="H320:M320"/>
    <mergeCell ref="H321:M321"/>
    <mergeCell ref="H323:M323"/>
    <mergeCell ref="H324:M324"/>
    <mergeCell ref="J207:L207"/>
    <mergeCell ref="C208:D208"/>
    <mergeCell ref="C209:D209"/>
    <mergeCell ref="C210:D210"/>
    <mergeCell ref="C215:D215"/>
    <mergeCell ref="H322:M322"/>
    <mergeCell ref="C306:C307"/>
    <mergeCell ref="D306:D307"/>
    <mergeCell ref="C231:C232"/>
    <mergeCell ref="D231:D232"/>
    <mergeCell ref="C259:C260"/>
    <mergeCell ref="D259:D260"/>
    <mergeCell ref="F268:G268"/>
    <mergeCell ref="F269:G269"/>
  </mergeCells>
  <conditionalFormatting sqref="Q182:W188">
    <cfRule type="expression" dxfId="26" priority="3" stopIfTrue="1">
      <formula>$H$125="upward"</formula>
    </cfRule>
  </conditionalFormatting>
  <conditionalFormatting sqref="Q190:S192">
    <cfRule type="expression" dxfId="25" priority="2" stopIfTrue="1">
      <formula>$H$125="upward"</formula>
    </cfRule>
  </conditionalFormatting>
  <conditionalFormatting sqref="H108:J108">
    <cfRule type="cellIs" dxfId="24" priority="1" stopIfTrue="1" operator="equal">
      <formula>0</formula>
    </cfRule>
  </conditionalFormatting>
  <dataValidations count="5">
    <dataValidation type="list" allowBlank="1" showInputMessage="1" showErrorMessage="1" sqref="D6">
      <formula1>$Q$6:$Q$8</formula1>
    </dataValidation>
    <dataValidation type="list" allowBlank="1" showInputMessage="1" showErrorMessage="1" sqref="I31:J31">
      <formula1>$Q$31:$Q$34</formula1>
    </dataValidation>
    <dataValidation type="list" allowBlank="1" showInputMessage="1" showErrorMessage="1" sqref="D316:D326">
      <formula1>$P$315:$P$318</formula1>
    </dataValidation>
    <dataValidation type="list" allowBlank="1" showInputMessage="1" showErrorMessage="1" sqref="H316:M326">
      <formula1>$Q$315:$Q$318</formula1>
    </dataValidation>
    <dataValidation type="list" allowBlank="1" showInputMessage="1" showErrorMessage="1" sqref="I312">
      <formula1>$P$315:$P$317</formula1>
    </dataValidation>
  </dataValidations>
  <pageMargins left="0.25" right="0.25" top="0.75" bottom="0.75" header="0.3" footer="0.3"/>
  <pageSetup paperSize="9" orientation="landscape" r:id="rId1"/>
  <rowBreaks count="8" manualBreakCount="8">
    <brk id="35" max="16383" man="1"/>
    <brk id="62" max="16383" man="1"/>
    <brk id="96" max="16383" man="1"/>
    <brk id="130" max="16383" man="1"/>
    <brk id="160" max="16383" man="1"/>
    <brk id="177" max="16383" man="1"/>
    <brk id="258" max="16383" man="1"/>
    <brk id="305" max="16383" man="1"/>
  </row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>
    <tabColor theme="5" tint="0.39997558519241921"/>
  </sheetPr>
  <dimension ref="A1:Q80"/>
  <sheetViews>
    <sheetView topLeftCell="C1" workbookViewId="0">
      <selection activeCell="H25" sqref="H25"/>
    </sheetView>
  </sheetViews>
  <sheetFormatPr defaultRowHeight="15" outlineLevelCol="1" x14ac:dyDescent="0.25"/>
  <cols>
    <col min="1" max="1" width="9.140625" hidden="1" customWidth="1" outlineLevel="1"/>
    <col min="2" max="2" width="5" hidden="1" customWidth="1" outlineLevel="1"/>
    <col min="3" max="3" width="30.7109375" customWidth="1" collapsed="1"/>
    <col min="4" max="4" width="11.7109375" customWidth="1"/>
    <col min="5" max="5" width="1.5703125" customWidth="1"/>
    <col min="6" max="6" width="19.85546875" customWidth="1"/>
    <col min="7" max="8" width="11.7109375" customWidth="1"/>
    <col min="9" max="9" width="11.7109375" style="300" customWidth="1"/>
    <col min="10" max="10" width="11.7109375" customWidth="1"/>
    <col min="11" max="11" width="11.85546875" customWidth="1"/>
    <col min="12" max="12" width="11.7109375" style="300" customWidth="1"/>
    <col min="13" max="13" width="11.7109375" customWidth="1"/>
    <col min="14" max="14" width="1.85546875" bestFit="1" customWidth="1"/>
    <col min="15" max="16" width="9.140625" hidden="1" customWidth="1" outlineLevel="1"/>
    <col min="17" max="17" width="9.140625" collapsed="1"/>
  </cols>
  <sheetData>
    <row r="1" spans="1:16" ht="15.75" x14ac:dyDescent="0.25">
      <c r="A1" s="4"/>
      <c r="B1" s="4"/>
      <c r="C1" s="499" t="str">
        <f>Participant!$A$1</f>
        <v>&lt;Participant's name&gt;</v>
      </c>
      <c r="D1" s="494"/>
      <c r="E1" s="506"/>
      <c r="F1" s="506"/>
      <c r="G1" s="506"/>
      <c r="H1" s="506"/>
      <c r="I1" s="506"/>
      <c r="J1" s="506"/>
      <c r="K1" s="506"/>
      <c r="L1" s="506"/>
      <c r="M1" s="485" t="str">
        <f>Participant!$E$1</f>
        <v>2013 - HUF (Thousands)</v>
      </c>
      <c r="N1" s="304" t="s">
        <v>89</v>
      </c>
      <c r="O1" s="301" t="s">
        <v>521</v>
      </c>
      <c r="P1" s="301" t="s">
        <v>521</v>
      </c>
    </row>
    <row r="2" spans="1:16" x14ac:dyDescent="0.25">
      <c r="A2" s="4"/>
      <c r="B2" s="4"/>
      <c r="C2" s="486" t="str">
        <f>Participant!$A$2</f>
        <v>-</v>
      </c>
      <c r="D2" s="507"/>
      <c r="E2" s="509"/>
      <c r="F2" s="487" t="e">
        <f>P.Index!#REF!</f>
        <v>#REF!</v>
      </c>
      <c r="G2" s="487"/>
      <c r="H2" s="487"/>
      <c r="I2" s="487"/>
      <c r="J2" s="487"/>
      <c r="K2" s="487"/>
      <c r="L2" s="487"/>
      <c r="M2" s="492" t="str">
        <f>Version</f>
        <v>2013 12 31</v>
      </c>
      <c r="N2" s="304" t="s">
        <v>89</v>
      </c>
      <c r="O2" s="301" t="s">
        <v>1151</v>
      </c>
      <c r="P2" s="301" t="s">
        <v>1151</v>
      </c>
    </row>
    <row r="3" spans="1:16" x14ac:dyDescent="0.25">
      <c r="N3" s="304" t="s">
        <v>89</v>
      </c>
      <c r="O3" s="301"/>
      <c r="P3" s="301"/>
    </row>
    <row r="4" spans="1:16" x14ac:dyDescent="0.25">
      <c r="C4" s="154" t="s">
        <v>1068</v>
      </c>
      <c r="M4" s="249" t="str">
        <f>HYPERLINK("#'P.index'!H34","&gt;&gt; index sheet")</f>
        <v>&gt;&gt; index sheet</v>
      </c>
      <c r="N4" s="304" t="s">
        <v>89</v>
      </c>
      <c r="O4" s="301"/>
    </row>
    <row r="5" spans="1:16" s="300" customFormat="1" x14ac:dyDescent="0.25">
      <c r="C5" s="154" t="s">
        <v>890</v>
      </c>
      <c r="N5" s="304" t="s">
        <v>89</v>
      </c>
      <c r="O5" s="301"/>
    </row>
    <row r="6" spans="1:16" s="300" customFormat="1" x14ac:dyDescent="0.25">
      <c r="N6" s="304" t="s">
        <v>89</v>
      </c>
    </row>
    <row r="7" spans="1:16" s="300" customFormat="1" x14ac:dyDescent="0.25">
      <c r="C7" s="1043" t="s">
        <v>892</v>
      </c>
      <c r="D7" s="1111"/>
      <c r="N7" s="304" t="s">
        <v>89</v>
      </c>
    </row>
    <row r="8" spans="1:16" s="300" customFormat="1" x14ac:dyDescent="0.25">
      <c r="C8" s="1045"/>
      <c r="D8" s="1112"/>
      <c r="N8" s="304" t="s">
        <v>89</v>
      </c>
    </row>
    <row r="9" spans="1:16" s="300" customFormat="1" x14ac:dyDescent="0.25">
      <c r="N9" s="304" t="s">
        <v>89</v>
      </c>
    </row>
    <row r="10" spans="1:16" ht="15" customHeight="1" x14ac:dyDescent="0.25">
      <c r="C10" s="1034" t="s">
        <v>1169</v>
      </c>
      <c r="D10" s="691"/>
      <c r="E10" s="309" t="s">
        <v>89</v>
      </c>
      <c r="F10" s="1195" t="s">
        <v>873</v>
      </c>
      <c r="G10" s="735" t="s">
        <v>893</v>
      </c>
      <c r="H10" s="691"/>
      <c r="I10" s="863" t="s">
        <v>896</v>
      </c>
      <c r="J10" s="1195" t="s">
        <v>678</v>
      </c>
      <c r="K10" s="1195" t="s">
        <v>898</v>
      </c>
      <c r="L10" s="1195" t="s">
        <v>874</v>
      </c>
      <c r="N10" s="304" t="s">
        <v>89</v>
      </c>
    </row>
    <row r="11" spans="1:16" ht="45" x14ac:dyDescent="0.25">
      <c r="C11" s="864" t="s">
        <v>1057</v>
      </c>
      <c r="D11" s="980" t="s">
        <v>1136</v>
      </c>
      <c r="E11" s="305" t="s">
        <v>89</v>
      </c>
      <c r="F11" s="1196"/>
      <c r="G11" s="865" t="s">
        <v>894</v>
      </c>
      <c r="H11" s="865" t="s">
        <v>895</v>
      </c>
      <c r="I11" s="866" t="s">
        <v>897</v>
      </c>
      <c r="J11" s="1196"/>
      <c r="K11" s="1197"/>
      <c r="L11" s="1196"/>
      <c r="N11" s="304" t="s">
        <v>89</v>
      </c>
      <c r="P11" s="300"/>
    </row>
    <row r="12" spans="1:16" x14ac:dyDescent="0.25">
      <c r="C12" s="937" t="s">
        <v>1058</v>
      </c>
      <c r="D12" s="528" t="s">
        <v>521</v>
      </c>
      <c r="E12" s="305" t="s">
        <v>89</v>
      </c>
      <c r="F12" s="528" t="s">
        <v>521</v>
      </c>
      <c r="G12" s="528" t="s">
        <v>521</v>
      </c>
      <c r="H12" s="528" t="s">
        <v>521</v>
      </c>
      <c r="I12" s="989" t="str">
        <f>IF(AND(G12&lt;&gt;"-",H12&lt;&gt;"-"),SUM(G12)-SUM(H12),"-")</f>
        <v>-</v>
      </c>
      <c r="J12" s="989" t="s">
        <v>521</v>
      </c>
      <c r="K12" s="989" t="str">
        <f>IF(AND(I12&lt;&gt;"-",J12&lt;&gt;"-"),(SUM(I12)-SUM(J12)),"-")</f>
        <v>-</v>
      </c>
      <c r="L12" s="565" t="s">
        <v>521</v>
      </c>
      <c r="N12" s="304" t="s">
        <v>89</v>
      </c>
      <c r="O12" s="301">
        <f>MATCH(F12,$O$1:$O$5)</f>
        <v>1</v>
      </c>
    </row>
    <row r="13" spans="1:16" x14ac:dyDescent="0.25">
      <c r="C13" s="927" t="s">
        <v>1059</v>
      </c>
      <c r="D13" s="514" t="s">
        <v>521</v>
      </c>
      <c r="E13" s="305" t="s">
        <v>89</v>
      </c>
      <c r="F13" s="514" t="s">
        <v>521</v>
      </c>
      <c r="G13" s="514" t="s">
        <v>521</v>
      </c>
      <c r="H13" s="514" t="s">
        <v>521</v>
      </c>
      <c r="I13" s="990" t="str">
        <f t="shared" ref="I13:I21" si="0">IF(AND(G13&lt;&gt;"-",H13&lt;&gt;"-"),SUM(G13)-SUM(H13),"-")</f>
        <v>-</v>
      </c>
      <c r="J13" s="990" t="s">
        <v>521</v>
      </c>
      <c r="K13" s="990" t="str">
        <f t="shared" ref="K13:K21" si="1">IF(AND(I13&lt;&gt;"-",J13&lt;&gt;"-"),(SUM(I13)-SUM(J13)),"-")</f>
        <v>-</v>
      </c>
      <c r="L13" s="568" t="s">
        <v>521</v>
      </c>
      <c r="N13" s="304" t="s">
        <v>89</v>
      </c>
      <c r="O13" s="301">
        <f t="shared" ref="O13:O21" si="2">MATCH(F13,$O$1:$O$5)</f>
        <v>1</v>
      </c>
    </row>
    <row r="14" spans="1:16" x14ac:dyDescent="0.25">
      <c r="C14" s="927" t="s">
        <v>1060</v>
      </c>
      <c r="D14" s="514" t="s">
        <v>521</v>
      </c>
      <c r="E14" s="305" t="s">
        <v>89</v>
      </c>
      <c r="F14" s="514" t="s">
        <v>521</v>
      </c>
      <c r="G14" s="514" t="s">
        <v>521</v>
      </c>
      <c r="H14" s="514" t="s">
        <v>521</v>
      </c>
      <c r="I14" s="990" t="str">
        <f t="shared" si="0"/>
        <v>-</v>
      </c>
      <c r="J14" s="990" t="s">
        <v>521</v>
      </c>
      <c r="K14" s="990" t="str">
        <f t="shared" si="1"/>
        <v>-</v>
      </c>
      <c r="L14" s="568" t="s">
        <v>521</v>
      </c>
      <c r="N14" s="304" t="s">
        <v>89</v>
      </c>
      <c r="O14" s="301">
        <f t="shared" si="2"/>
        <v>1</v>
      </c>
    </row>
    <row r="15" spans="1:16" x14ac:dyDescent="0.25">
      <c r="C15" s="927" t="s">
        <v>1061</v>
      </c>
      <c r="D15" s="514" t="s">
        <v>521</v>
      </c>
      <c r="E15" s="305" t="s">
        <v>89</v>
      </c>
      <c r="F15" s="514" t="s">
        <v>521</v>
      </c>
      <c r="G15" s="514" t="s">
        <v>521</v>
      </c>
      <c r="H15" s="514" t="s">
        <v>521</v>
      </c>
      <c r="I15" s="990" t="str">
        <f t="shared" si="0"/>
        <v>-</v>
      </c>
      <c r="J15" s="990" t="s">
        <v>521</v>
      </c>
      <c r="K15" s="990" t="str">
        <f t="shared" si="1"/>
        <v>-</v>
      </c>
      <c r="L15" s="568" t="s">
        <v>521</v>
      </c>
      <c r="N15" s="304" t="s">
        <v>89</v>
      </c>
      <c r="O15" s="301">
        <f t="shared" si="2"/>
        <v>1</v>
      </c>
    </row>
    <row r="16" spans="1:16" x14ac:dyDescent="0.25">
      <c r="C16" s="927" t="s">
        <v>1062</v>
      </c>
      <c r="D16" s="514" t="s">
        <v>521</v>
      </c>
      <c r="E16" s="305" t="s">
        <v>89</v>
      </c>
      <c r="F16" s="514" t="s">
        <v>521</v>
      </c>
      <c r="G16" s="514" t="s">
        <v>521</v>
      </c>
      <c r="H16" s="514" t="s">
        <v>521</v>
      </c>
      <c r="I16" s="990" t="str">
        <f t="shared" si="0"/>
        <v>-</v>
      </c>
      <c r="J16" s="990" t="s">
        <v>521</v>
      </c>
      <c r="K16" s="990" t="str">
        <f t="shared" si="1"/>
        <v>-</v>
      </c>
      <c r="L16" s="568" t="s">
        <v>521</v>
      </c>
      <c r="N16" s="304" t="s">
        <v>89</v>
      </c>
      <c r="O16" s="301">
        <f t="shared" si="2"/>
        <v>1</v>
      </c>
    </row>
    <row r="17" spans="3:15" x14ac:dyDescent="0.25">
      <c r="C17" s="927" t="s">
        <v>1063</v>
      </c>
      <c r="D17" s="514" t="s">
        <v>521</v>
      </c>
      <c r="E17" s="305" t="s">
        <v>89</v>
      </c>
      <c r="F17" s="514" t="s">
        <v>521</v>
      </c>
      <c r="G17" s="514" t="s">
        <v>521</v>
      </c>
      <c r="H17" s="514" t="s">
        <v>521</v>
      </c>
      <c r="I17" s="990" t="str">
        <f t="shared" si="0"/>
        <v>-</v>
      </c>
      <c r="J17" s="990" t="s">
        <v>521</v>
      </c>
      <c r="K17" s="990" t="str">
        <f t="shared" si="1"/>
        <v>-</v>
      </c>
      <c r="L17" s="568" t="s">
        <v>521</v>
      </c>
      <c r="N17" s="304" t="s">
        <v>89</v>
      </c>
      <c r="O17" s="301">
        <f t="shared" si="2"/>
        <v>1</v>
      </c>
    </row>
    <row r="18" spans="3:15" x14ac:dyDescent="0.25">
      <c r="C18" s="927" t="s">
        <v>1064</v>
      </c>
      <c r="D18" s="514" t="s">
        <v>521</v>
      </c>
      <c r="E18" s="305" t="s">
        <v>89</v>
      </c>
      <c r="F18" s="514" t="s">
        <v>521</v>
      </c>
      <c r="G18" s="514" t="s">
        <v>521</v>
      </c>
      <c r="H18" s="514" t="s">
        <v>521</v>
      </c>
      <c r="I18" s="990" t="str">
        <f t="shared" si="0"/>
        <v>-</v>
      </c>
      <c r="J18" s="990" t="s">
        <v>521</v>
      </c>
      <c r="K18" s="990" t="str">
        <f t="shared" si="1"/>
        <v>-</v>
      </c>
      <c r="L18" s="568" t="s">
        <v>521</v>
      </c>
      <c r="N18" s="304" t="s">
        <v>89</v>
      </c>
      <c r="O18" s="301">
        <f t="shared" si="2"/>
        <v>1</v>
      </c>
    </row>
    <row r="19" spans="3:15" x14ac:dyDescent="0.25">
      <c r="C19" s="927" t="s">
        <v>1065</v>
      </c>
      <c r="D19" s="514" t="s">
        <v>521</v>
      </c>
      <c r="E19" s="305" t="s">
        <v>89</v>
      </c>
      <c r="F19" s="514" t="s">
        <v>521</v>
      </c>
      <c r="G19" s="514" t="s">
        <v>521</v>
      </c>
      <c r="H19" s="514" t="s">
        <v>521</v>
      </c>
      <c r="I19" s="990" t="str">
        <f t="shared" si="0"/>
        <v>-</v>
      </c>
      <c r="J19" s="990" t="s">
        <v>521</v>
      </c>
      <c r="K19" s="990" t="str">
        <f t="shared" si="1"/>
        <v>-</v>
      </c>
      <c r="L19" s="568" t="s">
        <v>521</v>
      </c>
      <c r="N19" s="304" t="s">
        <v>89</v>
      </c>
      <c r="O19" s="301">
        <f t="shared" si="2"/>
        <v>1</v>
      </c>
    </row>
    <row r="20" spans="3:15" x14ac:dyDescent="0.25">
      <c r="C20" s="927" t="s">
        <v>1066</v>
      </c>
      <c r="D20" s="514" t="s">
        <v>521</v>
      </c>
      <c r="E20" s="305" t="s">
        <v>89</v>
      </c>
      <c r="F20" s="514" t="s">
        <v>521</v>
      </c>
      <c r="G20" s="514" t="s">
        <v>521</v>
      </c>
      <c r="H20" s="514" t="s">
        <v>521</v>
      </c>
      <c r="I20" s="990" t="str">
        <f t="shared" si="0"/>
        <v>-</v>
      </c>
      <c r="J20" s="990" t="s">
        <v>521</v>
      </c>
      <c r="K20" s="990" t="str">
        <f t="shared" si="1"/>
        <v>-</v>
      </c>
      <c r="L20" s="568" t="s">
        <v>521</v>
      </c>
      <c r="N20" s="304" t="s">
        <v>89</v>
      </c>
      <c r="O20" s="301">
        <f t="shared" si="2"/>
        <v>1</v>
      </c>
    </row>
    <row r="21" spans="3:15" x14ac:dyDescent="0.25">
      <c r="C21" s="938" t="s">
        <v>1067</v>
      </c>
      <c r="D21" s="519" t="s">
        <v>521</v>
      </c>
      <c r="E21" s="310" t="s">
        <v>89</v>
      </c>
      <c r="F21" s="519" t="s">
        <v>521</v>
      </c>
      <c r="G21" s="519" t="s">
        <v>521</v>
      </c>
      <c r="H21" s="519" t="s">
        <v>521</v>
      </c>
      <c r="I21" s="991" t="str">
        <f t="shared" si="0"/>
        <v>-</v>
      </c>
      <c r="J21" s="991" t="s">
        <v>521</v>
      </c>
      <c r="K21" s="991" t="str">
        <f t="shared" si="1"/>
        <v>-</v>
      </c>
      <c r="L21" s="571" t="s">
        <v>521</v>
      </c>
      <c r="N21" s="304" t="s">
        <v>89</v>
      </c>
      <c r="O21" s="301">
        <f t="shared" si="2"/>
        <v>1</v>
      </c>
    </row>
    <row r="22" spans="3:15" x14ac:dyDescent="0.25">
      <c r="E22" s="300"/>
      <c r="H22" s="300"/>
      <c r="K22" s="300"/>
      <c r="L22"/>
      <c r="N22" s="304" t="s">
        <v>89</v>
      </c>
    </row>
    <row r="23" spans="3:15" s="300" customFormat="1" x14ac:dyDescent="0.25">
      <c r="N23" s="304" t="s">
        <v>89</v>
      </c>
    </row>
    <row r="24" spans="3:15" s="300" customFormat="1" x14ac:dyDescent="0.25">
      <c r="N24" s="304" t="s">
        <v>89</v>
      </c>
    </row>
    <row r="25" spans="3:15" s="300" customFormat="1" x14ac:dyDescent="0.25">
      <c r="C25" s="402"/>
      <c r="D25" s="402"/>
      <c r="E25" s="402"/>
      <c r="F25" s="402"/>
      <c r="G25" s="402"/>
      <c r="H25" s="402"/>
      <c r="I25" s="402"/>
      <c r="J25" s="402"/>
      <c r="K25" s="402"/>
      <c r="L25" s="402"/>
      <c r="M25" s="402"/>
      <c r="N25" s="304" t="s">
        <v>89</v>
      </c>
    </row>
    <row r="26" spans="3:15" s="300" customFormat="1" ht="15" customHeight="1" x14ac:dyDescent="0.25">
      <c r="C26" s="402"/>
      <c r="D26" s="402"/>
      <c r="E26" s="402"/>
      <c r="F26" s="402"/>
      <c r="G26" s="402"/>
      <c r="H26" s="402"/>
      <c r="I26" s="402"/>
      <c r="J26" s="402"/>
      <c r="K26" s="402"/>
      <c r="L26" s="402"/>
      <c r="M26" s="402"/>
      <c r="N26" s="304" t="s">
        <v>89</v>
      </c>
      <c r="O26" s="258" t="s">
        <v>521</v>
      </c>
    </row>
    <row r="27" spans="3:15" s="300" customFormat="1" x14ac:dyDescent="0.25">
      <c r="C27" s="402"/>
      <c r="D27" s="402"/>
      <c r="E27" s="402"/>
      <c r="F27" s="402"/>
      <c r="G27" s="402"/>
      <c r="H27" s="402"/>
      <c r="I27" s="402"/>
      <c r="J27" s="402"/>
      <c r="K27" s="402"/>
      <c r="L27" s="402"/>
      <c r="M27" s="402"/>
      <c r="N27" s="304" t="s">
        <v>89</v>
      </c>
      <c r="O27" s="258" t="s">
        <v>535</v>
      </c>
    </row>
    <row r="28" spans="3:15" s="300" customFormat="1" x14ac:dyDescent="0.25">
      <c r="C28" s="402"/>
      <c r="D28" s="402"/>
      <c r="E28" s="402"/>
      <c r="F28" s="402"/>
      <c r="G28" s="402"/>
      <c r="H28" s="402"/>
      <c r="I28" s="402"/>
      <c r="J28" s="402"/>
      <c r="K28" s="402"/>
      <c r="L28" s="402"/>
      <c r="M28" s="402"/>
      <c r="N28" s="304" t="s">
        <v>89</v>
      </c>
      <c r="O28" s="258" t="s">
        <v>533</v>
      </c>
    </row>
    <row r="29" spans="3:15" s="300" customFormat="1" x14ac:dyDescent="0.25">
      <c r="C29" s="402"/>
      <c r="D29" s="402"/>
      <c r="E29" s="402"/>
      <c r="F29" s="402"/>
      <c r="G29" s="402"/>
      <c r="H29" s="402"/>
      <c r="I29" s="402"/>
      <c r="J29" s="402"/>
      <c r="K29" s="402"/>
      <c r="L29" s="402"/>
      <c r="M29" s="402"/>
      <c r="N29" s="304" t="s">
        <v>89</v>
      </c>
    </row>
    <row r="30" spans="3:15" s="300" customFormat="1" x14ac:dyDescent="0.25">
      <c r="C30" s="402"/>
      <c r="D30" s="402"/>
      <c r="E30" s="402"/>
      <c r="F30" s="402"/>
      <c r="G30" s="402"/>
      <c r="H30" s="402"/>
      <c r="I30" s="402"/>
      <c r="J30" s="402"/>
      <c r="K30" s="402"/>
      <c r="L30" s="402"/>
      <c r="M30" s="402"/>
      <c r="N30" s="304" t="s">
        <v>89</v>
      </c>
    </row>
    <row r="31" spans="3:15" s="300" customFormat="1" x14ac:dyDescent="0.25">
      <c r="C31" s="402"/>
      <c r="D31" s="402"/>
      <c r="E31" s="402"/>
      <c r="F31" s="402"/>
      <c r="G31" s="402"/>
      <c r="H31" s="402"/>
      <c r="I31" s="402"/>
      <c r="J31" s="402"/>
      <c r="K31" s="402"/>
      <c r="L31" s="402"/>
      <c r="M31" s="402"/>
      <c r="N31" s="304" t="s">
        <v>89</v>
      </c>
    </row>
    <row r="32" spans="3:15" s="300" customFormat="1" x14ac:dyDescent="0.25">
      <c r="C32" s="402"/>
      <c r="D32" s="402"/>
      <c r="E32" s="402"/>
      <c r="F32" s="402"/>
      <c r="G32" s="402"/>
      <c r="H32" s="402"/>
      <c r="I32" s="402"/>
      <c r="J32" s="402"/>
      <c r="K32" s="402"/>
      <c r="L32" s="402"/>
      <c r="M32" s="402"/>
      <c r="N32" s="304" t="s">
        <v>89</v>
      </c>
    </row>
    <row r="33" spans="3:14" s="300" customFormat="1" x14ac:dyDescent="0.25">
      <c r="C33" s="402"/>
      <c r="D33" s="402"/>
      <c r="E33" s="402"/>
      <c r="F33" s="402"/>
      <c r="G33" s="402"/>
      <c r="H33" s="402"/>
      <c r="I33" s="402"/>
      <c r="J33" s="402"/>
      <c r="K33" s="402"/>
      <c r="L33" s="402"/>
      <c r="M33" s="402"/>
      <c r="N33" s="304" t="s">
        <v>89</v>
      </c>
    </row>
    <row r="34" spans="3:14" s="300" customFormat="1" x14ac:dyDescent="0.25">
      <c r="C34" s="402"/>
      <c r="D34" s="402"/>
      <c r="E34" s="402"/>
      <c r="F34" s="402"/>
      <c r="G34" s="402"/>
      <c r="H34" s="402"/>
      <c r="I34" s="402"/>
      <c r="J34" s="402"/>
      <c r="K34" s="402"/>
      <c r="L34" s="402"/>
      <c r="M34" s="402"/>
      <c r="N34" s="304" t="s">
        <v>89</v>
      </c>
    </row>
    <row r="35" spans="3:14" s="300" customFormat="1" x14ac:dyDescent="0.25">
      <c r="C35" s="402"/>
      <c r="D35" s="402"/>
      <c r="E35" s="402"/>
      <c r="F35" s="402"/>
      <c r="G35" s="402"/>
      <c r="H35" s="402"/>
      <c r="I35" s="402"/>
      <c r="J35" s="402"/>
      <c r="K35" s="402"/>
      <c r="L35" s="402"/>
      <c r="M35" s="402"/>
      <c r="N35" s="304" t="s">
        <v>89</v>
      </c>
    </row>
    <row r="36" spans="3:14" s="300" customFormat="1" x14ac:dyDescent="0.25">
      <c r="C36" s="402"/>
      <c r="D36" s="402"/>
      <c r="E36" s="402"/>
      <c r="F36" s="402"/>
      <c r="G36" s="402"/>
      <c r="H36" s="402"/>
      <c r="I36" s="402"/>
      <c r="J36" s="402"/>
      <c r="K36" s="402"/>
      <c r="L36" s="402"/>
      <c r="M36" s="402"/>
      <c r="N36" s="304" t="s">
        <v>89</v>
      </c>
    </row>
    <row r="37" spans="3:14" s="300" customFormat="1" x14ac:dyDescent="0.25">
      <c r="C37" s="402"/>
      <c r="D37" s="402"/>
      <c r="E37" s="402"/>
      <c r="F37" s="402"/>
      <c r="G37" s="402"/>
      <c r="H37" s="402"/>
      <c r="I37" s="402"/>
      <c r="J37" s="402"/>
      <c r="K37" s="402"/>
      <c r="L37" s="402"/>
      <c r="M37" s="402"/>
      <c r="N37" s="304" t="s">
        <v>89</v>
      </c>
    </row>
    <row r="38" spans="3:14" s="300" customFormat="1" x14ac:dyDescent="0.25">
      <c r="C38" s="402"/>
      <c r="D38" s="402"/>
      <c r="E38" s="402"/>
      <c r="F38" s="402"/>
      <c r="G38" s="402"/>
      <c r="H38" s="402"/>
      <c r="I38" s="402"/>
      <c r="J38" s="402"/>
      <c r="K38" s="402"/>
      <c r="L38" s="402"/>
      <c r="M38" s="402"/>
      <c r="N38" s="304" t="s">
        <v>89</v>
      </c>
    </row>
    <row r="39" spans="3:14" s="300" customFormat="1" x14ac:dyDescent="0.25">
      <c r="C39" s="402"/>
      <c r="D39" s="402"/>
      <c r="E39" s="402"/>
      <c r="F39" s="402"/>
      <c r="G39" s="402"/>
      <c r="H39" s="402"/>
      <c r="I39" s="402"/>
      <c r="J39" s="402"/>
      <c r="K39" s="402"/>
      <c r="L39" s="402"/>
      <c r="M39" s="402"/>
      <c r="N39" s="304" t="s">
        <v>89</v>
      </c>
    </row>
    <row r="40" spans="3:14" s="300" customFormat="1" x14ac:dyDescent="0.25">
      <c r="C40" s="402"/>
      <c r="D40" s="402"/>
      <c r="E40" s="402"/>
      <c r="F40" s="402"/>
      <c r="G40" s="402"/>
      <c r="H40" s="402"/>
      <c r="I40" s="402"/>
      <c r="J40" s="402"/>
      <c r="K40" s="402"/>
      <c r="L40" s="402"/>
      <c r="M40" s="402"/>
      <c r="N40" s="304" t="s">
        <v>89</v>
      </c>
    </row>
    <row r="41" spans="3:14" s="300" customFormat="1" x14ac:dyDescent="0.25">
      <c r="C41" s="402"/>
      <c r="D41" s="402"/>
      <c r="E41" s="402"/>
      <c r="F41" s="402"/>
      <c r="G41" s="402"/>
      <c r="H41" s="402"/>
      <c r="I41" s="402"/>
      <c r="J41" s="402"/>
      <c r="K41" s="402"/>
      <c r="L41" s="402"/>
      <c r="M41" s="402"/>
      <c r="N41" s="304" t="s">
        <v>89</v>
      </c>
    </row>
    <row r="42" spans="3:14" s="300" customFormat="1" x14ac:dyDescent="0.25">
      <c r="C42" s="402"/>
      <c r="D42" s="402"/>
      <c r="E42" s="402"/>
      <c r="F42" s="402"/>
      <c r="G42" s="402"/>
      <c r="H42" s="402"/>
      <c r="I42" s="402"/>
      <c r="J42" s="402"/>
      <c r="K42" s="402"/>
      <c r="L42" s="402"/>
      <c r="M42" s="402"/>
      <c r="N42" s="304" t="s">
        <v>89</v>
      </c>
    </row>
    <row r="43" spans="3:14" s="300" customFormat="1" x14ac:dyDescent="0.25">
      <c r="C43" s="402"/>
      <c r="D43" s="402"/>
      <c r="E43" s="402"/>
      <c r="F43" s="402"/>
      <c r="G43" s="402"/>
      <c r="H43" s="402"/>
      <c r="I43" s="402"/>
      <c r="J43" s="402"/>
      <c r="K43" s="402"/>
      <c r="L43" s="402"/>
      <c r="M43" s="402"/>
      <c r="N43" s="304" t="s">
        <v>89</v>
      </c>
    </row>
    <row r="44" spans="3:14" s="300" customFormat="1" x14ac:dyDescent="0.25">
      <c r="C44" s="402"/>
      <c r="D44" s="402"/>
      <c r="E44" s="402"/>
      <c r="F44" s="402"/>
      <c r="G44" s="402"/>
      <c r="H44" s="402"/>
      <c r="I44" s="402"/>
      <c r="J44" s="402"/>
      <c r="K44" s="402"/>
      <c r="L44" s="402"/>
      <c r="M44" s="402"/>
      <c r="N44" s="304" t="s">
        <v>89</v>
      </c>
    </row>
    <row r="45" spans="3:14" s="300" customFormat="1" x14ac:dyDescent="0.25">
      <c r="C45" s="402"/>
      <c r="D45" s="402"/>
      <c r="E45" s="402"/>
      <c r="F45" s="402"/>
      <c r="G45" s="402"/>
      <c r="H45" s="402"/>
      <c r="I45" s="402"/>
      <c r="J45" s="402"/>
      <c r="K45" s="402"/>
      <c r="L45" s="402"/>
      <c r="M45" s="402"/>
      <c r="N45" s="304" t="s">
        <v>89</v>
      </c>
    </row>
    <row r="46" spans="3:14" s="300" customFormat="1" x14ac:dyDescent="0.25">
      <c r="C46" s="402"/>
      <c r="D46" s="402"/>
      <c r="E46" s="402"/>
      <c r="F46" s="402"/>
      <c r="G46" s="402"/>
      <c r="H46" s="402"/>
      <c r="I46" s="402"/>
      <c r="J46" s="402"/>
      <c r="K46" s="402"/>
      <c r="L46" s="402"/>
      <c r="M46" s="402"/>
      <c r="N46" s="304" t="s">
        <v>89</v>
      </c>
    </row>
    <row r="47" spans="3:14" s="300" customFormat="1" x14ac:dyDescent="0.25">
      <c r="C47" s="402"/>
      <c r="D47" s="402"/>
      <c r="E47" s="402"/>
      <c r="F47" s="402"/>
      <c r="G47" s="402"/>
      <c r="H47" s="402"/>
      <c r="I47" s="402"/>
      <c r="J47" s="402"/>
      <c r="K47" s="402"/>
      <c r="L47" s="402"/>
      <c r="M47" s="402"/>
      <c r="N47" s="304" t="s">
        <v>89</v>
      </c>
    </row>
    <row r="48" spans="3:14" s="300" customFormat="1" x14ac:dyDescent="0.25">
      <c r="C48" s="402"/>
      <c r="D48" s="402"/>
      <c r="E48" s="402"/>
      <c r="F48" s="402"/>
      <c r="G48" s="402"/>
      <c r="H48" s="402"/>
      <c r="I48" s="402"/>
      <c r="J48" s="402"/>
      <c r="K48" s="402"/>
      <c r="L48" s="402"/>
      <c r="M48" s="402"/>
      <c r="N48" s="304" t="s">
        <v>89</v>
      </c>
    </row>
    <row r="49" spans="3:14" s="300" customFormat="1" x14ac:dyDescent="0.25">
      <c r="C49" s="402"/>
      <c r="D49" s="402"/>
      <c r="E49" s="402"/>
      <c r="F49" s="402"/>
      <c r="G49" s="402"/>
      <c r="H49" s="402"/>
      <c r="I49" s="402"/>
      <c r="J49" s="402"/>
      <c r="K49" s="402"/>
      <c r="L49" s="402"/>
      <c r="M49" s="402"/>
      <c r="N49" s="304" t="s">
        <v>89</v>
      </c>
    </row>
    <row r="50" spans="3:14" s="300" customFormat="1" x14ac:dyDescent="0.25">
      <c r="C50" s="402"/>
      <c r="D50" s="402"/>
      <c r="E50" s="402"/>
      <c r="F50" s="402"/>
      <c r="G50" s="402"/>
      <c r="H50" s="402"/>
      <c r="I50" s="402"/>
      <c r="J50" s="402"/>
      <c r="K50" s="402"/>
      <c r="L50" s="402"/>
      <c r="M50" s="402"/>
      <c r="N50" s="304" t="s">
        <v>89</v>
      </c>
    </row>
    <row r="51" spans="3:14" s="300" customFormat="1" x14ac:dyDescent="0.25">
      <c r="C51" s="402"/>
      <c r="D51" s="402"/>
      <c r="E51" s="402"/>
      <c r="F51" s="402"/>
      <c r="G51" s="402"/>
      <c r="H51" s="402"/>
      <c r="I51" s="402"/>
      <c r="J51" s="402"/>
      <c r="K51" s="402"/>
      <c r="L51" s="402"/>
      <c r="M51" s="402"/>
      <c r="N51" s="304" t="s">
        <v>89</v>
      </c>
    </row>
    <row r="52" spans="3:14" s="300" customFormat="1" x14ac:dyDescent="0.25">
      <c r="C52" s="402"/>
      <c r="D52" s="402"/>
      <c r="E52" s="402"/>
      <c r="F52" s="402"/>
      <c r="G52" s="402"/>
      <c r="H52" s="402"/>
      <c r="I52" s="402"/>
      <c r="J52" s="402"/>
      <c r="K52" s="402"/>
      <c r="L52" s="402"/>
      <c r="M52" s="402"/>
      <c r="N52" s="304" t="s">
        <v>89</v>
      </c>
    </row>
    <row r="53" spans="3:14" s="300" customFormat="1" x14ac:dyDescent="0.25">
      <c r="C53" s="402"/>
      <c r="D53" s="402"/>
      <c r="E53" s="402"/>
      <c r="F53" s="402"/>
      <c r="G53" s="402"/>
      <c r="H53" s="402"/>
      <c r="I53" s="402"/>
      <c r="J53" s="402"/>
      <c r="K53" s="402"/>
      <c r="L53" s="402"/>
      <c r="M53" s="402"/>
      <c r="N53" s="304" t="s">
        <v>89</v>
      </c>
    </row>
    <row r="54" spans="3:14" s="300" customFormat="1" x14ac:dyDescent="0.25">
      <c r="C54" s="402"/>
      <c r="D54" s="402"/>
      <c r="E54" s="402"/>
      <c r="F54" s="402"/>
      <c r="G54" s="402"/>
      <c r="H54" s="402"/>
      <c r="I54" s="402"/>
      <c r="J54" s="402"/>
      <c r="K54" s="402"/>
      <c r="L54" s="402"/>
      <c r="M54" s="402"/>
      <c r="N54" s="304" t="s">
        <v>89</v>
      </c>
    </row>
    <row r="55" spans="3:14" s="402" customFormat="1" x14ac:dyDescent="0.25">
      <c r="N55" s="304" t="s">
        <v>89</v>
      </c>
    </row>
    <row r="56" spans="3:14" s="402" customFormat="1" x14ac:dyDescent="0.25">
      <c r="N56" s="304" t="s">
        <v>89</v>
      </c>
    </row>
    <row r="57" spans="3:14" s="402" customFormat="1" x14ac:dyDescent="0.25">
      <c r="N57" s="304" t="s">
        <v>89</v>
      </c>
    </row>
    <row r="58" spans="3:14" s="402" customFormat="1" x14ac:dyDescent="0.25">
      <c r="N58" s="304" t="s">
        <v>89</v>
      </c>
    </row>
    <row r="59" spans="3:14" s="402" customFormat="1" x14ac:dyDescent="0.25">
      <c r="N59" s="304" t="s">
        <v>89</v>
      </c>
    </row>
    <row r="60" spans="3:14" s="402" customFormat="1" x14ac:dyDescent="0.25">
      <c r="N60" s="304" t="s">
        <v>89</v>
      </c>
    </row>
    <row r="61" spans="3:14" s="402" customFormat="1" x14ac:dyDescent="0.25">
      <c r="N61" s="304" t="s">
        <v>89</v>
      </c>
    </row>
    <row r="62" spans="3:14" s="402" customFormat="1" x14ac:dyDescent="0.25">
      <c r="N62" s="304" t="s">
        <v>89</v>
      </c>
    </row>
    <row r="63" spans="3:14" s="402" customFormat="1" x14ac:dyDescent="0.25">
      <c r="N63" s="304" t="s">
        <v>89</v>
      </c>
    </row>
    <row r="64" spans="3:14" s="402" customFormat="1" x14ac:dyDescent="0.25">
      <c r="N64" s="304" t="s">
        <v>89</v>
      </c>
    </row>
    <row r="65" spans="3:14" s="402" customFormat="1" x14ac:dyDescent="0.25">
      <c r="N65" s="304" t="s">
        <v>89</v>
      </c>
    </row>
    <row r="66" spans="3:14" s="402" customFormat="1" x14ac:dyDescent="0.25">
      <c r="N66" s="304" t="s">
        <v>89</v>
      </c>
    </row>
    <row r="67" spans="3:14" s="402" customFormat="1" x14ac:dyDescent="0.25">
      <c r="N67" s="304" t="s">
        <v>89</v>
      </c>
    </row>
    <row r="68" spans="3:14" s="402" customFormat="1" x14ac:dyDescent="0.25">
      <c r="N68" s="304" t="s">
        <v>89</v>
      </c>
    </row>
    <row r="69" spans="3:14" s="402" customFormat="1" x14ac:dyDescent="0.25">
      <c r="N69" s="304" t="s">
        <v>89</v>
      </c>
    </row>
    <row r="70" spans="3:14" s="402" customFormat="1" x14ac:dyDescent="0.25">
      <c r="N70" s="304" t="s">
        <v>89</v>
      </c>
    </row>
    <row r="71" spans="3:14" s="402" customFormat="1" x14ac:dyDescent="0.25">
      <c r="N71" s="304" t="s">
        <v>89</v>
      </c>
    </row>
    <row r="72" spans="3:14" s="402" customFormat="1" x14ac:dyDescent="0.25">
      <c r="N72" s="304" t="s">
        <v>89</v>
      </c>
    </row>
    <row r="73" spans="3:14" s="402" customFormat="1" x14ac:dyDescent="0.25">
      <c r="N73" s="304" t="s">
        <v>89</v>
      </c>
    </row>
    <row r="74" spans="3:14" s="402" customFormat="1" x14ac:dyDescent="0.25">
      <c r="N74" s="304" t="s">
        <v>89</v>
      </c>
    </row>
    <row r="75" spans="3:14" s="402" customFormat="1" x14ac:dyDescent="0.25">
      <c r="N75" s="304" t="s">
        <v>89</v>
      </c>
    </row>
    <row r="76" spans="3:14" s="402" customFormat="1" x14ac:dyDescent="0.25">
      <c r="N76" s="304" t="s">
        <v>89</v>
      </c>
    </row>
    <row r="77" spans="3:14" s="402" customFormat="1" x14ac:dyDescent="0.25">
      <c r="N77" s="304" t="s">
        <v>89</v>
      </c>
    </row>
    <row r="78" spans="3:14" s="402" customFormat="1" x14ac:dyDescent="0.25">
      <c r="N78" s="304" t="s">
        <v>89</v>
      </c>
    </row>
    <row r="79" spans="3:14" s="402" customFormat="1" x14ac:dyDescent="0.25">
      <c r="N79" s="304" t="s">
        <v>89</v>
      </c>
    </row>
    <row r="80" spans="3:14" x14ac:dyDescent="0.25">
      <c r="C80" s="306" t="s">
        <v>89</v>
      </c>
      <c r="D80" s="207" t="s">
        <v>89</v>
      </c>
      <c r="E80" s="207" t="s">
        <v>89</v>
      </c>
      <c r="F80" s="207" t="s">
        <v>89</v>
      </c>
      <c r="G80" s="207" t="s">
        <v>89</v>
      </c>
      <c r="H80" s="207" t="s">
        <v>89</v>
      </c>
      <c r="I80" s="207" t="s">
        <v>89</v>
      </c>
      <c r="J80" s="207" t="s">
        <v>89</v>
      </c>
      <c r="K80" s="207" t="s">
        <v>89</v>
      </c>
      <c r="L80" s="207"/>
      <c r="M80" s="207" t="s">
        <v>89</v>
      </c>
      <c r="N80" s="304" t="s">
        <v>89</v>
      </c>
    </row>
  </sheetData>
  <mergeCells count="6">
    <mergeCell ref="F10:F11"/>
    <mergeCell ref="K10:K11"/>
    <mergeCell ref="J10:J11"/>
    <mergeCell ref="L10:L11"/>
    <mergeCell ref="C7:C8"/>
    <mergeCell ref="D7:D8"/>
  </mergeCells>
  <conditionalFormatting sqref="G12:K21">
    <cfRule type="expression" dxfId="23" priority="63" stopIfTrue="1">
      <formula>OR($O12&lt;2,$O12&gt;4)</formula>
    </cfRule>
  </conditionalFormatting>
  <dataValidations count="2">
    <dataValidation type="list" allowBlank="1" showInputMessage="1" showErrorMessage="1" sqref="L26:L27">
      <formula1>$O$26:$O$28</formula1>
    </dataValidation>
    <dataValidation type="list" allowBlank="1" showInputMessage="1" showErrorMessage="1" sqref="F12:F21">
      <formula1>$O$1:$O$5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landscape" verticalDpi="0" r:id="rId1"/>
  <rowBreaks count="1" manualBreakCount="1">
    <brk id="25" max="16383" man="1"/>
  </row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>
    <tabColor theme="5" tint="0.39997558519241921"/>
  </sheetPr>
  <dimension ref="A1:AD536"/>
  <sheetViews>
    <sheetView topLeftCell="C1" workbookViewId="0">
      <selection activeCell="AE23" sqref="AE23"/>
    </sheetView>
  </sheetViews>
  <sheetFormatPr defaultRowHeight="15" outlineLevelCol="1" x14ac:dyDescent="0.25"/>
  <cols>
    <col min="1" max="1" width="9.140625" style="4" hidden="1" customWidth="1" outlineLevel="1"/>
    <col min="2" max="2" width="5" style="4" hidden="1" customWidth="1" outlineLevel="1"/>
    <col min="3" max="3" width="30.7109375" style="8" customWidth="1" collapsed="1"/>
    <col min="4" max="4" width="9.85546875" style="60" bestFit="1" customWidth="1"/>
    <col min="5" max="5" width="1.5703125" style="59" customWidth="1"/>
    <col min="6" max="6" width="9.7109375" style="8" customWidth="1"/>
    <col min="7" max="12" width="9.7109375" style="4" customWidth="1"/>
    <col min="13" max="13" width="10.140625" style="4" customWidth="1"/>
    <col min="14" max="14" width="35.7109375" style="4" customWidth="1"/>
    <col min="15" max="15" width="1.85546875" style="4" bestFit="1" customWidth="1"/>
    <col min="16" max="16" width="14.85546875" style="4" hidden="1" customWidth="1" outlineLevel="1"/>
    <col min="17" max="17" width="26.28515625" style="4" hidden="1" customWidth="1" outlineLevel="1"/>
    <col min="18" max="24" width="9.140625" style="4" hidden="1" customWidth="1" outlineLevel="1"/>
    <col min="25" max="25" width="9.140625" style="4" hidden="1" customWidth="1" outlineLevel="1" collapsed="1"/>
    <col min="26" max="29" width="9.140625" style="4" hidden="1" customWidth="1" outlineLevel="1"/>
    <col min="30" max="30" width="9.140625" style="4" collapsed="1"/>
    <col min="31" max="244" width="9.140625" style="4"/>
    <col min="245" max="245" width="50.5703125" style="4" customWidth="1"/>
    <col min="246" max="246" width="24.140625" style="4" customWidth="1"/>
    <col min="247" max="247" width="27" style="4" customWidth="1"/>
    <col min="248" max="248" width="9.140625" style="4"/>
    <col min="249" max="249" width="16.7109375" style="4" customWidth="1"/>
    <col min="250" max="250" width="9.140625" style="4"/>
    <col min="251" max="251" width="26.85546875" style="4" customWidth="1"/>
    <col min="252" max="16384" width="9.140625" style="4"/>
  </cols>
  <sheetData>
    <row r="1" spans="3:17" ht="15.75" x14ac:dyDescent="0.25">
      <c r="C1" s="499" t="str">
        <f>Participant!$A$1</f>
        <v>&lt;Participant's name&gt;</v>
      </c>
      <c r="D1" s="494"/>
      <c r="E1" s="503"/>
      <c r="F1" s="503"/>
      <c r="G1" s="506"/>
      <c r="H1" s="506"/>
      <c r="I1" s="506"/>
      <c r="J1" s="506"/>
      <c r="K1" s="506"/>
      <c r="L1" s="506"/>
      <c r="M1" s="506"/>
      <c r="N1" s="485" t="str">
        <f>Participant!$E$1</f>
        <v>2013 - HUF (Thousands)</v>
      </c>
      <c r="O1" s="304" t="s">
        <v>89</v>
      </c>
    </row>
    <row r="2" spans="3:17" x14ac:dyDescent="0.25">
      <c r="C2" s="486" t="str">
        <f>Participant!$A$2</f>
        <v>-</v>
      </c>
      <c r="D2" s="507"/>
      <c r="E2" s="508"/>
      <c r="F2" s="487"/>
      <c r="G2" s="487"/>
      <c r="H2" s="932"/>
      <c r="I2" s="987" t="str">
        <f>P.Index!D19</f>
        <v>2. Volatilitás kiigazítás és átmeneti intézkedések forgatókönyv</v>
      </c>
      <c r="J2" s="487"/>
      <c r="K2" s="487"/>
      <c r="L2" s="487"/>
      <c r="M2" s="487"/>
      <c r="N2" s="492" t="str">
        <f>Version</f>
        <v>2013 12 31</v>
      </c>
      <c r="O2" s="304" t="s">
        <v>89</v>
      </c>
    </row>
    <row r="3" spans="3:17" ht="7.5" customHeight="1" x14ac:dyDescent="0.25">
      <c r="D3" s="402"/>
      <c r="E3" s="4"/>
      <c r="O3" s="304" t="s">
        <v>89</v>
      </c>
    </row>
    <row r="4" spans="3:17" x14ac:dyDescent="0.25">
      <c r="C4" s="1043" t="s">
        <v>741</v>
      </c>
      <c r="D4" s="1111" t="s">
        <v>1148</v>
      </c>
      <c r="E4" s="4"/>
      <c r="F4" s="379" t="s">
        <v>683</v>
      </c>
      <c r="G4" s="380"/>
      <c r="H4" s="381"/>
      <c r="J4" s="248" t="s">
        <v>684</v>
      </c>
      <c r="K4" s="249" t="str">
        <f>HYPERLINK("#'P.index'!H22","&gt;&gt; index sheet")</f>
        <v>&gt;&gt; index sheet</v>
      </c>
      <c r="L4" s="250"/>
      <c r="M4" s="249" t="str">
        <f>HYPERLINK("#'Overview'!H7","&gt;&gt; Overview sheet")</f>
        <v>&gt;&gt; Overview sheet</v>
      </c>
      <c r="N4" s="162"/>
      <c r="O4" s="304" t="s">
        <v>89</v>
      </c>
    </row>
    <row r="5" spans="3:17" x14ac:dyDescent="0.25">
      <c r="C5" s="1045"/>
      <c r="D5" s="1112"/>
      <c r="E5" s="4"/>
      <c r="F5" s="897" t="s">
        <v>647</v>
      </c>
      <c r="G5" s="516"/>
      <c r="H5" s="517"/>
      <c r="J5" s="251" t="str">
        <f>HYPERLINK("#'Shared-2013'!C6:I47","&gt;&gt; details of the balance sheet shared across scenarios")</f>
        <v>&gt;&gt; details of the balance sheet shared across scenarios</v>
      </c>
      <c r="K5" s="279"/>
      <c r="L5" s="279"/>
      <c r="M5" s="279"/>
      <c r="N5" s="272"/>
      <c r="O5" s="304" t="s">
        <v>89</v>
      </c>
      <c r="Q5" s="899">
        <f>MATCH(D6,Q6:Q8,0)</f>
        <v>1</v>
      </c>
    </row>
    <row r="6" spans="3:17" x14ac:dyDescent="0.25">
      <c r="C6" s="690" t="s">
        <v>685</v>
      </c>
      <c r="D6" s="518" t="s">
        <v>538</v>
      </c>
      <c r="E6" s="4"/>
      <c r="F6" s="898" t="s">
        <v>646</v>
      </c>
      <c r="G6" s="454"/>
      <c r="H6" s="455"/>
      <c r="J6" s="251" t="str">
        <f>HYPERLINK("#'Shared-2013'!C55:I75","&gt;&gt; details of the own funds shared across scenarios")</f>
        <v>&gt;&gt; details of the own funds shared across scenarios</v>
      </c>
      <c r="K6" s="279"/>
      <c r="L6" s="279"/>
      <c r="M6" s="279"/>
      <c r="N6" s="272"/>
      <c r="O6" s="304" t="s">
        <v>89</v>
      </c>
      <c r="Q6" s="156" t="s">
        <v>538</v>
      </c>
    </row>
    <row r="7" spans="3:17" x14ac:dyDescent="0.25">
      <c r="D7" s="402"/>
      <c r="E7" s="4"/>
      <c r="F7" s="889" t="s">
        <v>539</v>
      </c>
      <c r="G7" s="890"/>
      <c r="H7" s="891"/>
      <c r="J7" s="253" t="str">
        <f>HYPERLINK("#'Shared-2013'!C78:I158","&gt;&gt; details of the capital requirements shared across scenarios")</f>
        <v>&gt;&gt; details of the capital requirements shared across scenarios</v>
      </c>
      <c r="K7" s="254"/>
      <c r="L7" s="254"/>
      <c r="M7" s="254"/>
      <c r="N7" s="164"/>
      <c r="O7" s="304" t="s">
        <v>89</v>
      </c>
      <c r="Q7" s="156" t="s">
        <v>140</v>
      </c>
    </row>
    <row r="8" spans="3:17" ht="8.25" customHeight="1" x14ac:dyDescent="0.25">
      <c r="D8" s="402"/>
      <c r="E8" s="4"/>
      <c r="O8" s="304" t="s">
        <v>89</v>
      </c>
      <c r="Q8" s="156" t="s">
        <v>540</v>
      </c>
    </row>
    <row r="9" spans="3:17" ht="15.75" customHeight="1" x14ac:dyDescent="0.25">
      <c r="C9" s="635" t="s">
        <v>657</v>
      </c>
      <c r="D9" s="691"/>
      <c r="E9" s="157" t="s">
        <v>89</v>
      </c>
      <c r="F9" s="635" t="s">
        <v>661</v>
      </c>
      <c r="G9" s="692"/>
      <c r="H9" s="692"/>
      <c r="I9" s="691"/>
      <c r="M9" s="1130" t="s">
        <v>1055</v>
      </c>
      <c r="N9" s="1055"/>
      <c r="O9" s="304" t="s">
        <v>89</v>
      </c>
    </row>
    <row r="10" spans="3:17" x14ac:dyDescent="0.25">
      <c r="C10" s="693" t="s">
        <v>77</v>
      </c>
      <c r="D10" s="382">
        <f>SUM('Shared-2013'!D50)</f>
        <v>0</v>
      </c>
      <c r="E10" s="155" t="s">
        <v>89</v>
      </c>
      <c r="F10" s="694" t="s">
        <v>514</v>
      </c>
      <c r="G10" s="695" t="s">
        <v>641</v>
      </c>
      <c r="H10" s="695" t="s">
        <v>640</v>
      </c>
      <c r="I10" s="695" t="s">
        <v>639</v>
      </c>
      <c r="J10" s="1133" t="s">
        <v>531</v>
      </c>
      <c r="K10" s="1134"/>
      <c r="L10" s="203"/>
      <c r="M10" s="1131"/>
      <c r="N10" s="1132"/>
      <c r="O10" s="304" t="s">
        <v>89</v>
      </c>
    </row>
    <row r="11" spans="3:17" x14ac:dyDescent="0.25">
      <c r="C11" s="651" t="s">
        <v>681</v>
      </c>
      <c r="D11" s="450">
        <f>SUM(D12:D17)</f>
        <v>0</v>
      </c>
      <c r="E11" s="155" t="s">
        <v>89</v>
      </c>
      <c r="F11" s="450">
        <f>SUM(F12:F17)</f>
        <v>0</v>
      </c>
      <c r="G11" s="442">
        <f>SUM(G12:G17)</f>
        <v>0</v>
      </c>
      <c r="H11" s="450">
        <f>SUM(H12:H17)</f>
        <v>0</v>
      </c>
      <c r="I11" s="442">
        <f>SUM(I12:I17)</f>
        <v>0</v>
      </c>
      <c r="J11" s="1135"/>
      <c r="K11" s="1136"/>
      <c r="L11" s="203"/>
      <c r="M11" s="1059"/>
      <c r="N11" s="1057"/>
      <c r="O11" s="304" t="s">
        <v>89</v>
      </c>
    </row>
    <row r="12" spans="3:17" x14ac:dyDescent="0.25">
      <c r="C12" s="696" t="s">
        <v>117</v>
      </c>
      <c r="D12" s="514" t="s">
        <v>521</v>
      </c>
      <c r="E12" s="155" t="s">
        <v>89</v>
      </c>
      <c r="F12" s="444">
        <f t="shared" ref="F12:F17" si="0">SUM(G12:I12)</f>
        <v>0</v>
      </c>
      <c r="G12" s="524" t="s">
        <v>521</v>
      </c>
      <c r="H12" s="524" t="s">
        <v>521</v>
      </c>
      <c r="I12" s="524" t="s">
        <v>521</v>
      </c>
      <c r="J12" s="697" t="s">
        <v>662</v>
      </c>
      <c r="K12" s="698"/>
      <c r="M12" s="451">
        <f>SUM(H11:I11)-SUM(I17)</f>
        <v>0</v>
      </c>
      <c r="N12" s="694" t="s">
        <v>514</v>
      </c>
      <c r="O12" s="304" t="s">
        <v>89</v>
      </c>
      <c r="Q12" s="699" t="s">
        <v>532</v>
      </c>
    </row>
    <row r="13" spans="3:17" x14ac:dyDescent="0.25">
      <c r="C13" s="696" t="s">
        <v>118</v>
      </c>
      <c r="D13" s="514" t="s">
        <v>521</v>
      </c>
      <c r="E13" s="155" t="s">
        <v>89</v>
      </c>
      <c r="F13" s="444">
        <f t="shared" si="0"/>
        <v>0</v>
      </c>
      <c r="G13" s="514" t="s">
        <v>521</v>
      </c>
      <c r="H13" s="514" t="s">
        <v>521</v>
      </c>
      <c r="I13" s="514" t="s">
        <v>521</v>
      </c>
      <c r="J13" s="697" t="s">
        <v>663</v>
      </c>
      <c r="K13" s="698"/>
      <c r="M13" s="870" t="s">
        <v>521</v>
      </c>
      <c r="N13" s="699" t="s">
        <v>532</v>
      </c>
      <c r="O13" s="304" t="s">
        <v>89</v>
      </c>
      <c r="Q13" s="699" t="s">
        <v>875</v>
      </c>
    </row>
    <row r="14" spans="3:17" x14ac:dyDescent="0.25">
      <c r="C14" s="696" t="s">
        <v>126</v>
      </c>
      <c r="D14" s="514" t="s">
        <v>521</v>
      </c>
      <c r="E14" s="155" t="s">
        <v>89</v>
      </c>
      <c r="F14" s="444">
        <f t="shared" si="0"/>
        <v>0</v>
      </c>
      <c r="G14" s="514" t="s">
        <v>521</v>
      </c>
      <c r="H14" s="514" t="s">
        <v>521</v>
      </c>
      <c r="I14" s="514" t="s">
        <v>521</v>
      </c>
      <c r="J14" s="697" t="s">
        <v>664</v>
      </c>
      <c r="K14" s="698"/>
      <c r="M14" s="514" t="s">
        <v>521</v>
      </c>
      <c r="N14" s="699" t="s">
        <v>1146</v>
      </c>
      <c r="O14" s="304" t="s">
        <v>89</v>
      </c>
      <c r="Q14" s="699" t="s">
        <v>534</v>
      </c>
    </row>
    <row r="15" spans="3:17" x14ac:dyDescent="0.25">
      <c r="C15" s="696" t="s">
        <v>636</v>
      </c>
      <c r="D15" s="514" t="s">
        <v>521</v>
      </c>
      <c r="E15" s="155" t="s">
        <v>89</v>
      </c>
      <c r="F15" s="444">
        <f t="shared" si="0"/>
        <v>0</v>
      </c>
      <c r="G15" s="514" t="s">
        <v>521</v>
      </c>
      <c r="H15" s="514" t="s">
        <v>521</v>
      </c>
      <c r="I15" s="514" t="s">
        <v>521</v>
      </c>
      <c r="J15" s="697" t="s">
        <v>636</v>
      </c>
      <c r="K15" s="700"/>
      <c r="M15" s="514" t="s">
        <v>521</v>
      </c>
      <c r="N15" s="699" t="s">
        <v>1147</v>
      </c>
      <c r="O15" s="304" t="s">
        <v>89</v>
      </c>
      <c r="Q15" s="699" t="s">
        <v>60</v>
      </c>
    </row>
    <row r="16" spans="3:17" x14ac:dyDescent="0.25">
      <c r="C16" s="696" t="s">
        <v>637</v>
      </c>
      <c r="D16" s="514" t="s">
        <v>521</v>
      </c>
      <c r="E16" s="155" t="s">
        <v>89</v>
      </c>
      <c r="F16" s="444">
        <f t="shared" si="0"/>
        <v>0</v>
      </c>
      <c r="G16" s="514" t="s">
        <v>521</v>
      </c>
      <c r="H16" s="514" t="s">
        <v>521</v>
      </c>
      <c r="I16" s="514" t="s">
        <v>521</v>
      </c>
      <c r="J16" s="697" t="s">
        <v>665</v>
      </c>
      <c r="K16" s="698"/>
      <c r="M16" s="514" t="s">
        <v>521</v>
      </c>
      <c r="N16" s="699" t="s">
        <v>1165</v>
      </c>
      <c r="O16" s="304" t="s">
        <v>89</v>
      </c>
      <c r="Q16" s="699"/>
    </row>
    <row r="17" spans="1:17" x14ac:dyDescent="0.25">
      <c r="C17" s="696" t="s">
        <v>638</v>
      </c>
      <c r="D17" s="519" t="s">
        <v>521</v>
      </c>
      <c r="E17" s="155" t="s">
        <v>89</v>
      </c>
      <c r="F17" s="456">
        <f t="shared" si="0"/>
        <v>0</v>
      </c>
      <c r="G17" s="519" t="s">
        <v>521</v>
      </c>
      <c r="H17" s="519" t="s">
        <v>521</v>
      </c>
      <c r="I17" s="519" t="s">
        <v>521</v>
      </c>
      <c r="J17" s="701" t="s">
        <v>666</v>
      </c>
      <c r="K17" s="702"/>
      <c r="M17" s="870">
        <f>SUM(M12)-SUM(M13:M16)</f>
        <v>0</v>
      </c>
      <c r="N17" s="703" t="s">
        <v>537</v>
      </c>
      <c r="O17" s="304" t="s">
        <v>89</v>
      </c>
    </row>
    <row r="18" spans="1:17" x14ac:dyDescent="0.25">
      <c r="C18" s="654" t="s">
        <v>635</v>
      </c>
      <c r="D18" s="383">
        <f>SUM('Shared-2013'!D26)</f>
        <v>0</v>
      </c>
      <c r="E18" s="155" t="s">
        <v>89</v>
      </c>
      <c r="F18" s="418"/>
      <c r="G18" s="419"/>
      <c r="H18" s="419"/>
      <c r="I18" s="419"/>
      <c r="J18" s="420"/>
      <c r="K18" s="421"/>
      <c r="O18" s="304" t="s">
        <v>89</v>
      </c>
    </row>
    <row r="19" spans="1:17" x14ac:dyDescent="0.25">
      <c r="C19" s="651" t="s">
        <v>5</v>
      </c>
      <c r="D19" s="528" t="s">
        <v>521</v>
      </c>
      <c r="E19" s="155" t="s">
        <v>89</v>
      </c>
      <c r="F19" s="528" t="s">
        <v>521</v>
      </c>
      <c r="G19" s="422"/>
      <c r="H19" s="422"/>
      <c r="I19" s="422"/>
      <c r="J19" s="704" t="s">
        <v>25</v>
      </c>
      <c r="K19" s="705"/>
      <c r="M19" s="448">
        <f>MAX(SUM(D19)-SUM(F19),0)</f>
        <v>0</v>
      </c>
      <c r="N19" s="706" t="s">
        <v>668</v>
      </c>
      <c r="O19" s="304" t="s">
        <v>89</v>
      </c>
    </row>
    <row r="20" spans="1:17" x14ac:dyDescent="0.25">
      <c r="C20" s="693" t="s">
        <v>82</v>
      </c>
      <c r="D20" s="382">
        <f>SUM('Shared-2013'!D52)</f>
        <v>0</v>
      </c>
      <c r="E20" s="155" t="s">
        <v>89</v>
      </c>
      <c r="F20" s="384">
        <f>SUM('Shared-2013'!F52)</f>
        <v>0</v>
      </c>
      <c r="G20" s="423"/>
      <c r="H20" s="423"/>
      <c r="I20" s="423"/>
      <c r="J20" s="592" t="s">
        <v>542</v>
      </c>
      <c r="K20" s="707"/>
      <c r="M20" s="448">
        <f>MAX(SUM(F24)-SUM(D24),0)</f>
        <v>0</v>
      </c>
      <c r="N20" s="706" t="s">
        <v>686</v>
      </c>
      <c r="O20" s="304" t="s">
        <v>89</v>
      </c>
    </row>
    <row r="21" spans="1:17" x14ac:dyDescent="0.25">
      <c r="C21" s="158" t="s">
        <v>541</v>
      </c>
      <c r="D21" s="451">
        <f>SUM(D10,D11,D18,D19,D20)</f>
        <v>0</v>
      </c>
      <c r="E21" s="161" t="s">
        <v>89</v>
      </c>
      <c r="F21" s="892">
        <f>SUM(D21)-SUM(F11,F19,F20)</f>
        <v>0</v>
      </c>
      <c r="G21" s="159" t="s">
        <v>36</v>
      </c>
      <c r="H21" s="159"/>
      <c r="I21" s="158"/>
      <c r="J21" s="159"/>
      <c r="K21" s="160"/>
      <c r="M21" s="244" t="str">
        <f>IF(SUM(M20),SUM(D78)/SUM(M20),"-")</f>
        <v>-</v>
      </c>
      <c r="N21" s="706" t="s">
        <v>687</v>
      </c>
      <c r="O21" s="304" t="s">
        <v>89</v>
      </c>
    </row>
    <row r="22" spans="1:17" ht="7.5" customHeight="1" x14ac:dyDescent="0.25">
      <c r="D22" s="402"/>
      <c r="E22" s="4"/>
      <c r="O22" s="304" t="s">
        <v>89</v>
      </c>
    </row>
    <row r="23" spans="1:17" x14ac:dyDescent="0.25">
      <c r="C23" s="708" t="s">
        <v>679</v>
      </c>
      <c r="D23" s="709"/>
      <c r="E23" s="709"/>
      <c r="F23" s="709"/>
      <c r="G23" s="709"/>
      <c r="H23" s="709"/>
      <c r="I23" s="709"/>
      <c r="J23" s="710"/>
      <c r="L23" s="711"/>
      <c r="M23" s="712"/>
      <c r="N23" s="691"/>
      <c r="O23" s="304" t="s">
        <v>89</v>
      </c>
    </row>
    <row r="24" spans="1:17" x14ac:dyDescent="0.25">
      <c r="C24" s="713" t="s">
        <v>682</v>
      </c>
      <c r="D24" s="528" t="s">
        <v>521</v>
      </c>
      <c r="E24" s="206" t="s">
        <v>89</v>
      </c>
      <c r="F24" s="528" t="s">
        <v>521</v>
      </c>
      <c r="G24" s="714" t="s">
        <v>680</v>
      </c>
      <c r="H24" s="715"/>
      <c r="I24" s="715"/>
      <c r="J24" s="716"/>
      <c r="L24" s="711" t="s">
        <v>521</v>
      </c>
      <c r="M24" s="717"/>
      <c r="N24" s="718"/>
      <c r="O24" s="304" t="s">
        <v>89</v>
      </c>
    </row>
    <row r="25" spans="1:17" x14ac:dyDescent="0.25">
      <c r="C25" s="719" t="s">
        <v>676</v>
      </c>
      <c r="D25" s="518" t="s">
        <v>521</v>
      </c>
      <c r="E25" s="206" t="s">
        <v>89</v>
      </c>
      <c r="F25" s="518" t="s">
        <v>521</v>
      </c>
      <c r="G25" s="714" t="s">
        <v>677</v>
      </c>
      <c r="H25" s="715"/>
      <c r="I25" s="715"/>
      <c r="J25" s="716"/>
      <c r="L25" s="711" t="s">
        <v>521</v>
      </c>
      <c r="M25" s="979"/>
      <c r="N25" s="721"/>
      <c r="O25" s="304" t="s">
        <v>89</v>
      </c>
    </row>
    <row r="26" spans="1:17" ht="7.5" customHeight="1" x14ac:dyDescent="0.25">
      <c r="D26" s="402"/>
      <c r="E26" s="4"/>
      <c r="O26" s="304" t="s">
        <v>89</v>
      </c>
    </row>
    <row r="27" spans="1:17" ht="15.75" thickBot="1" x14ac:dyDescent="0.3">
      <c r="C27" s="158" t="s">
        <v>543</v>
      </c>
      <c r="D27" s="694" t="s">
        <v>606</v>
      </c>
      <c r="E27" s="157" t="s">
        <v>89</v>
      </c>
      <c r="F27" s="694" t="s">
        <v>607</v>
      </c>
      <c r="G27" s="694" t="s">
        <v>674</v>
      </c>
      <c r="I27" s="722" t="s">
        <v>85</v>
      </c>
      <c r="J27" s="722" t="s">
        <v>71</v>
      </c>
      <c r="K27" s="166" t="s">
        <v>673</v>
      </c>
      <c r="L27" s="166"/>
      <c r="M27" s="166"/>
      <c r="N27" s="166"/>
      <c r="O27" s="304" t="s">
        <v>89</v>
      </c>
    </row>
    <row r="28" spans="1:17" x14ac:dyDescent="0.25">
      <c r="C28" s="672" t="s">
        <v>609</v>
      </c>
      <c r="D28" s="450">
        <f>SUM(D29:D31)</f>
        <v>0</v>
      </c>
      <c r="E28" s="155" t="s">
        <v>89</v>
      </c>
      <c r="F28" s="893">
        <f>SUM(F29:F31)</f>
        <v>0</v>
      </c>
      <c r="G28" s="893">
        <f>SUM(G29:G31)</f>
        <v>0</v>
      </c>
      <c r="I28" s="894">
        <f>SUM(D263)</f>
        <v>0</v>
      </c>
      <c r="J28" s="894">
        <f>MAX(0,SUM(H77,H84,H85,D85,$D$77))</f>
        <v>0</v>
      </c>
      <c r="K28" s="723" t="s">
        <v>669</v>
      </c>
      <c r="L28" s="723"/>
      <c r="M28" s="723"/>
      <c r="N28" s="723"/>
      <c r="O28" s="304" t="s">
        <v>89</v>
      </c>
    </row>
    <row r="29" spans="1:17" x14ac:dyDescent="0.25">
      <c r="A29" s="134" t="s">
        <v>824</v>
      </c>
      <c r="B29" s="135" t="str">
        <f>HYPERLINK(_TS_&amp;"#"&amp;SUBSTITUTE(A29,".","_"),"Open")</f>
        <v>Open</v>
      </c>
      <c r="C29" s="724" t="s">
        <v>671</v>
      </c>
      <c r="D29" s="449">
        <f>SUM(F73)</f>
        <v>0</v>
      </c>
      <c r="E29" s="155" t="s">
        <v>89</v>
      </c>
      <c r="F29" s="449">
        <f>$D29</f>
        <v>0</v>
      </c>
      <c r="G29" s="449">
        <f>$D29+SUM(N69)</f>
        <v>0</v>
      </c>
      <c r="I29" s="450">
        <f>IF(AND(F28&lt;&gt;"-",I28&lt;&gt;"-"),SUM(F28)-SUM(I28),"-")</f>
        <v>0</v>
      </c>
      <c r="J29" s="450">
        <f>IF(AND(F34&lt;&gt;"-",J28&lt;&gt;"-"),SUM(F34)-SUM(J28),"-")</f>
        <v>0</v>
      </c>
      <c r="K29" s="725" t="s">
        <v>605</v>
      </c>
      <c r="L29" s="725"/>
      <c r="M29" s="725"/>
      <c r="N29" s="725"/>
      <c r="O29" s="304" t="s">
        <v>89</v>
      </c>
    </row>
    <row r="30" spans="1:17" x14ac:dyDescent="0.25">
      <c r="A30" s="134" t="s">
        <v>824</v>
      </c>
      <c r="B30" s="135" t="str">
        <f>HYPERLINK(_TS_&amp;"#"&amp;SUBSTITUTE(A30,".","_"),"Open")</f>
        <v>Open</v>
      </c>
      <c r="C30" s="724" t="s">
        <v>672</v>
      </c>
      <c r="D30" s="449">
        <f>SUM(G73)</f>
        <v>0</v>
      </c>
      <c r="E30" s="155" t="s">
        <v>89</v>
      </c>
      <c r="F30" s="449">
        <f>MAX(0,MIN(F29*0.25,$D30))</f>
        <v>0</v>
      </c>
      <c r="G30" s="449">
        <f>MAX(0,MIN(G29*0.25,$D30))</f>
        <v>0</v>
      </c>
      <c r="I30" s="243" t="str">
        <f>IF(AND(I29&lt;&gt;"-",SUM(I28)&gt;0),1+SUM(I29)/SUM(I28),"-")</f>
        <v>-</v>
      </c>
      <c r="J30" s="243" t="str">
        <f>IF(AND(J29&lt;&gt;"-",SUM(J28)&gt;0),1+SUM(J29)/SUM(J28),"-")</f>
        <v>-</v>
      </c>
      <c r="K30" s="726" t="s">
        <v>608</v>
      </c>
      <c r="L30" s="726"/>
      <c r="M30" s="726"/>
      <c r="N30" s="726"/>
      <c r="O30" s="304" t="s">
        <v>89</v>
      </c>
      <c r="Q30" s="293">
        <f>MATCH(I31,Q31:Q34,0)</f>
        <v>1</v>
      </c>
    </row>
    <row r="31" spans="1:17" x14ac:dyDescent="0.25">
      <c r="A31" s="134" t="s">
        <v>823</v>
      </c>
      <c r="B31" s="135" t="str">
        <f>HYPERLINK(_TS_&amp;"#"&amp;SUBSTITUTE(A31,".","_"),"Open")</f>
        <v>Open</v>
      </c>
      <c r="C31" s="727" t="s">
        <v>1119</v>
      </c>
      <c r="D31" s="457">
        <f>SUM(H73)</f>
        <v>0</v>
      </c>
      <c r="E31" s="155" t="s">
        <v>89</v>
      </c>
      <c r="F31" s="449">
        <f>MAX(0,MIN(0.2*SUM(I28),SUM($D30)-SUM(F30)+$D31))</f>
        <v>0</v>
      </c>
      <c r="G31" s="449">
        <f>MAX(0,MIN(0.2*SUM(I32),SUM($D30)-SUM(G30)+$D31))</f>
        <v>0</v>
      </c>
      <c r="I31" s="1137" t="s">
        <v>521</v>
      </c>
      <c r="J31" s="1138"/>
      <c r="K31" s="245" t="s">
        <v>688</v>
      </c>
      <c r="L31" s="246"/>
      <c r="M31" s="246"/>
      <c r="N31" s="247"/>
      <c r="O31" s="304" t="s">
        <v>89</v>
      </c>
      <c r="Q31" s="231" t="s">
        <v>521</v>
      </c>
    </row>
    <row r="32" spans="1:17" x14ac:dyDescent="0.25">
      <c r="A32" s="134" t="s">
        <v>825</v>
      </c>
      <c r="B32" s="135" t="str">
        <f>HYPERLINK(_TS_&amp;"#"&amp;SUBSTITUTE(A32,".","_"),"Open")</f>
        <v>Open</v>
      </c>
      <c r="C32" s="728" t="s">
        <v>1120</v>
      </c>
      <c r="D32" s="458">
        <f>SUM(J68,H73)</f>
        <v>0</v>
      </c>
      <c r="E32" s="155" t="s">
        <v>89</v>
      </c>
      <c r="F32" s="449">
        <f>MAX(0,MIN(0.5*SUM(J28),$D30-F30+$D32))</f>
        <v>0</v>
      </c>
      <c r="G32" s="449">
        <f>MAX(0,MIN(0.5*SUM(J32),$D30-G30+$D32))</f>
        <v>0</v>
      </c>
      <c r="I32" s="895" t="str">
        <f>IF(J32&lt;&gt;"-",D264,"-")</f>
        <v>-</v>
      </c>
      <c r="J32" s="895" t="str">
        <f>IF(AND(I31&lt;&gt;"-",I31&lt;&gt;"none"),G309,"-")</f>
        <v>-</v>
      </c>
      <c r="K32" s="723" t="s">
        <v>670</v>
      </c>
      <c r="L32" s="723"/>
      <c r="M32" s="723"/>
      <c r="N32" s="723"/>
      <c r="O32" s="304" t="s">
        <v>89</v>
      </c>
      <c r="Q32" s="231" t="s">
        <v>537</v>
      </c>
    </row>
    <row r="33" spans="1:17" x14ac:dyDescent="0.25">
      <c r="A33" s="134" t="s">
        <v>822</v>
      </c>
      <c r="B33" s="135" t="str">
        <f>HYPERLINK(_TS_&amp;"#"&amp;SUBSTITUTE(A33,".","_"),"Open")</f>
        <v>Open</v>
      </c>
      <c r="C33" s="724" t="s">
        <v>1121</v>
      </c>
      <c r="D33" s="449">
        <f>SUM(I73,K68)</f>
        <v>0</v>
      </c>
      <c r="E33" s="155" t="s">
        <v>89</v>
      </c>
      <c r="F33" s="449">
        <f>MAX(0,MIN(0.5*SUM(J28)-SUM(F32), 0.15*SUM(J28),SUM(D33)))</f>
        <v>0</v>
      </c>
      <c r="G33" s="449">
        <f>MAX(0,MIN(0.5*SUM(J32)-SUM(G32), 0.15*SUM(J32),SUM(E33)))</f>
        <v>0</v>
      </c>
      <c r="I33" s="450" t="str">
        <f>IF(AND(G28&lt;&gt;"-",I32&lt;&gt;"-"),SUM(G28)-SUM(I32),"-")</f>
        <v>-</v>
      </c>
      <c r="J33" s="450" t="str">
        <f>IF(AND(G34&lt;&gt;"-",J32&lt;&gt;"-"),SUM(G34)-SUM(J32),"-")</f>
        <v>-</v>
      </c>
      <c r="K33" s="725" t="s">
        <v>605</v>
      </c>
      <c r="L33" s="725"/>
      <c r="M33" s="725"/>
      <c r="N33" s="725"/>
      <c r="O33" s="304" t="s">
        <v>89</v>
      </c>
      <c r="Q33" s="231" t="s">
        <v>838</v>
      </c>
    </row>
    <row r="34" spans="1:17" x14ac:dyDescent="0.25">
      <c r="C34" s="729" t="s">
        <v>610</v>
      </c>
      <c r="D34" s="441">
        <f>SUM(D29,D30,D32,D33)</f>
        <v>0</v>
      </c>
      <c r="E34" s="161" t="s">
        <v>89</v>
      </c>
      <c r="F34" s="896">
        <f>SUM(F29,F30,F32,F33)</f>
        <v>0</v>
      </c>
      <c r="G34" s="896">
        <f>SUM(G29,G30,G32,G33)</f>
        <v>0</v>
      </c>
      <c r="I34" s="243" t="str">
        <f>IF(AND(I33&lt;&gt;"-",SUM(I32)&gt;0),1+SUM(I33)/SUM(I32),"-")</f>
        <v>-</v>
      </c>
      <c r="J34" s="243" t="str">
        <f>IF(AND(J33&lt;&gt;"-",SUM(J32)&gt;0),1+SUM(J33)/SUM(J32),"-")</f>
        <v>-</v>
      </c>
      <c r="K34" s="726" t="s">
        <v>608</v>
      </c>
      <c r="L34" s="726"/>
      <c r="M34" s="726"/>
      <c r="N34" s="726"/>
      <c r="O34" s="304" t="s">
        <v>89</v>
      </c>
      <c r="Q34" s="288" t="s">
        <v>839</v>
      </c>
    </row>
    <row r="35" spans="1:17" x14ac:dyDescent="0.25">
      <c r="C35" s="4"/>
      <c r="D35" s="4"/>
      <c r="E35" s="4"/>
      <c r="F35" s="4"/>
      <c r="O35" s="304" t="s">
        <v>89</v>
      </c>
    </row>
    <row r="36" spans="1:17" x14ac:dyDescent="0.25">
      <c r="C36" s="1043" t="s">
        <v>879</v>
      </c>
      <c r="D36" s="1111" t="str">
        <f>$D$4</f>
        <v>VB és TM</v>
      </c>
      <c r="E36" s="4"/>
      <c r="F36" s="4"/>
      <c r="I36" s="988"/>
      <c r="O36" s="304" t="s">
        <v>89</v>
      </c>
    </row>
    <row r="37" spans="1:17" x14ac:dyDescent="0.25">
      <c r="C37" s="1045"/>
      <c r="D37" s="1112"/>
      <c r="E37" s="4"/>
      <c r="F37" s="4"/>
      <c r="O37" s="304" t="s">
        <v>89</v>
      </c>
    </row>
    <row r="38" spans="1:17" x14ac:dyDescent="0.25">
      <c r="C38" s="4"/>
      <c r="D38" s="4"/>
      <c r="E38" s="4"/>
      <c r="F38" s="4"/>
      <c r="O38" s="304" t="s">
        <v>89</v>
      </c>
    </row>
    <row r="39" spans="1:17" x14ac:dyDescent="0.25">
      <c r="C39" s="154" t="s">
        <v>888</v>
      </c>
      <c r="D39" s="4"/>
      <c r="E39" s="4"/>
      <c r="F39" s="4"/>
      <c r="O39" s="304" t="s">
        <v>89</v>
      </c>
    </row>
    <row r="40" spans="1:17" x14ac:dyDescent="0.25">
      <c r="C40" s="154" t="s">
        <v>889</v>
      </c>
      <c r="D40" s="4"/>
      <c r="E40" s="4"/>
      <c r="F40" s="4"/>
      <c r="O40" s="304" t="s">
        <v>89</v>
      </c>
    </row>
    <row r="41" spans="1:17" x14ac:dyDescent="0.25">
      <c r="C41" s="303" t="s">
        <v>1077</v>
      </c>
      <c r="D41" s="4"/>
      <c r="E41" s="4"/>
      <c r="F41" s="4"/>
      <c r="O41" s="304" t="s">
        <v>89</v>
      </c>
    </row>
    <row r="42" spans="1:17" x14ac:dyDescent="0.25">
      <c r="C42" s="4"/>
      <c r="D42" s="4"/>
      <c r="E42" s="4"/>
      <c r="F42" s="4"/>
      <c r="O42" s="304" t="s">
        <v>89</v>
      </c>
    </row>
    <row r="43" spans="1:17" ht="38.25" x14ac:dyDescent="0.25">
      <c r="C43" s="908"/>
      <c r="D43" s="909"/>
      <c r="E43" s="909"/>
      <c r="F43" s="909"/>
      <c r="G43" s="909"/>
      <c r="H43" s="909"/>
      <c r="I43" s="910" t="s">
        <v>884</v>
      </c>
      <c r="J43" s="733" t="s">
        <v>743</v>
      </c>
      <c r="K43" s="733" t="s">
        <v>773</v>
      </c>
      <c r="L43" s="733" t="s">
        <v>744</v>
      </c>
      <c r="M43" s="733" t="s">
        <v>1166</v>
      </c>
      <c r="N43" s="733" t="s">
        <v>880</v>
      </c>
      <c r="O43" s="304" t="s">
        <v>89</v>
      </c>
    </row>
    <row r="44" spans="1:17" x14ac:dyDescent="0.25">
      <c r="C44" s="901" t="s">
        <v>760</v>
      </c>
      <c r="D44" s="902"/>
      <c r="E44" s="902"/>
      <c r="F44" s="902"/>
      <c r="G44" s="902"/>
      <c r="H44" s="902"/>
      <c r="I44" s="903"/>
      <c r="J44" s="868" t="s">
        <v>521</v>
      </c>
      <c r="K44" s="871"/>
      <c r="L44" s="868" t="s">
        <v>521</v>
      </c>
      <c r="M44" s="872"/>
      <c r="N44" s="868" t="s">
        <v>521</v>
      </c>
      <c r="O44" s="304" t="s">
        <v>89</v>
      </c>
    </row>
    <row r="45" spans="1:17" x14ac:dyDescent="0.25">
      <c r="C45" s="901" t="s">
        <v>761</v>
      </c>
      <c r="D45" s="902"/>
      <c r="E45" s="902"/>
      <c r="F45" s="902"/>
      <c r="G45" s="902"/>
      <c r="H45" s="902"/>
      <c r="I45" s="903"/>
      <c r="J45" s="868" t="s">
        <v>521</v>
      </c>
      <c r="K45" s="873"/>
      <c r="L45" s="868" t="s">
        <v>521</v>
      </c>
      <c r="M45" s="874" t="s">
        <v>521</v>
      </c>
      <c r="N45" s="868" t="s">
        <v>521</v>
      </c>
      <c r="O45" s="304" t="s">
        <v>89</v>
      </c>
    </row>
    <row r="46" spans="1:17" x14ac:dyDescent="0.25">
      <c r="C46" s="901" t="s">
        <v>878</v>
      </c>
      <c r="D46" s="902"/>
      <c r="E46" s="902"/>
      <c r="F46" s="902"/>
      <c r="G46" s="902"/>
      <c r="H46" s="902"/>
      <c r="I46" s="903"/>
      <c r="J46" s="868" t="s">
        <v>521</v>
      </c>
      <c r="K46" s="873"/>
      <c r="L46" s="868" t="s">
        <v>521</v>
      </c>
      <c r="M46" s="875"/>
      <c r="N46" s="868" t="s">
        <v>521</v>
      </c>
      <c r="O46" s="304" t="s">
        <v>89</v>
      </c>
    </row>
    <row r="47" spans="1:17" x14ac:dyDescent="0.25">
      <c r="C47" s="901" t="s">
        <v>876</v>
      </c>
      <c r="D47" s="902"/>
      <c r="E47" s="902"/>
      <c r="F47" s="902"/>
      <c r="G47" s="902"/>
      <c r="H47" s="902"/>
      <c r="I47" s="903"/>
      <c r="J47" s="868" t="s">
        <v>521</v>
      </c>
      <c r="K47" s="868" t="s">
        <v>521</v>
      </c>
      <c r="L47" s="868" t="s">
        <v>521</v>
      </c>
      <c r="M47" s="875"/>
      <c r="N47" s="868" t="s">
        <v>521</v>
      </c>
      <c r="O47" s="304" t="s">
        <v>89</v>
      </c>
    </row>
    <row r="48" spans="1:17" x14ac:dyDescent="0.25">
      <c r="C48" s="901" t="s">
        <v>877</v>
      </c>
      <c r="D48" s="902"/>
      <c r="E48" s="902"/>
      <c r="F48" s="902"/>
      <c r="G48" s="902"/>
      <c r="H48" s="902"/>
      <c r="I48" s="903"/>
      <c r="J48" s="868" t="s">
        <v>521</v>
      </c>
      <c r="K48" s="868" t="s">
        <v>521</v>
      </c>
      <c r="L48" s="868" t="s">
        <v>521</v>
      </c>
      <c r="M48" s="875"/>
      <c r="N48" s="868" t="s">
        <v>521</v>
      </c>
      <c r="O48" s="304" t="s">
        <v>89</v>
      </c>
    </row>
    <row r="49" spans="3:15" x14ac:dyDescent="0.25">
      <c r="C49" s="875" t="s">
        <v>883</v>
      </c>
      <c r="D49" s="881"/>
      <c r="E49" s="881"/>
      <c r="F49" s="881"/>
      <c r="G49" s="881"/>
      <c r="H49" s="881"/>
      <c r="I49" s="882"/>
      <c r="J49" s="868" t="s">
        <v>521</v>
      </c>
      <c r="K49" s="868" t="s">
        <v>521</v>
      </c>
      <c r="L49" s="868" t="s">
        <v>521</v>
      </c>
      <c r="M49" s="875"/>
      <c r="N49" s="868" t="s">
        <v>521</v>
      </c>
      <c r="O49" s="304" t="s">
        <v>89</v>
      </c>
    </row>
    <row r="50" spans="3:15" x14ac:dyDescent="0.25">
      <c r="C50" s="875" t="s">
        <v>882</v>
      </c>
      <c r="D50" s="881"/>
      <c r="E50" s="881"/>
      <c r="F50" s="881"/>
      <c r="G50" s="881"/>
      <c r="H50" s="881"/>
      <c r="I50" s="882"/>
      <c r="J50" s="868" t="s">
        <v>521</v>
      </c>
      <c r="K50" s="868" t="s">
        <v>521</v>
      </c>
      <c r="L50" s="868" t="s">
        <v>521</v>
      </c>
      <c r="M50" s="875"/>
      <c r="N50" s="868" t="s">
        <v>521</v>
      </c>
      <c r="O50" s="304" t="s">
        <v>89</v>
      </c>
    </row>
    <row r="51" spans="3:15" x14ac:dyDescent="0.25">
      <c r="C51" s="875" t="s">
        <v>887</v>
      </c>
      <c r="D51" s="881"/>
      <c r="E51" s="881"/>
      <c r="F51" s="881"/>
      <c r="G51" s="881"/>
      <c r="H51" s="881"/>
      <c r="I51" s="882"/>
      <c r="J51" s="868" t="s">
        <v>521</v>
      </c>
      <c r="K51" s="868" t="s">
        <v>521</v>
      </c>
      <c r="L51" s="868" t="s">
        <v>521</v>
      </c>
      <c r="M51" s="875"/>
      <c r="N51" s="868" t="s">
        <v>521</v>
      </c>
      <c r="O51" s="304" t="s">
        <v>89</v>
      </c>
    </row>
    <row r="52" spans="3:15" x14ac:dyDescent="0.25">
      <c r="C52" s="876" t="s">
        <v>1069</v>
      </c>
      <c r="D52" s="883"/>
      <c r="E52" s="883"/>
      <c r="F52" s="883"/>
      <c r="G52" s="883"/>
      <c r="H52" s="883"/>
      <c r="I52" s="884"/>
      <c r="J52" s="870" t="s">
        <v>521</v>
      </c>
      <c r="K52" s="870" t="s">
        <v>521</v>
      </c>
      <c r="L52" s="870" t="s">
        <v>521</v>
      </c>
      <c r="M52" s="876"/>
      <c r="N52" s="870" t="s">
        <v>521</v>
      </c>
      <c r="O52" s="304" t="s">
        <v>89</v>
      </c>
    </row>
    <row r="53" spans="3:15" x14ac:dyDescent="0.25">
      <c r="C53" s="4"/>
      <c r="D53" s="4"/>
      <c r="E53" s="4"/>
      <c r="F53" s="4"/>
      <c r="O53" s="304" t="s">
        <v>89</v>
      </c>
    </row>
    <row r="54" spans="3:15" x14ac:dyDescent="0.25">
      <c r="C54" s="4"/>
      <c r="D54" s="4"/>
      <c r="E54" s="4"/>
      <c r="F54" s="4"/>
      <c r="O54" s="304" t="s">
        <v>89</v>
      </c>
    </row>
    <row r="55" spans="3:15" x14ac:dyDescent="0.25">
      <c r="C55" s="4"/>
      <c r="D55" s="4"/>
      <c r="E55" s="4"/>
      <c r="F55" s="4"/>
      <c r="O55" s="304" t="s">
        <v>89</v>
      </c>
    </row>
    <row r="56" spans="3:15" x14ac:dyDescent="0.25">
      <c r="C56" s="4"/>
      <c r="D56" s="4"/>
      <c r="E56" s="4"/>
      <c r="F56" s="4"/>
      <c r="O56" s="304" t="s">
        <v>89</v>
      </c>
    </row>
    <row r="57" spans="3:15" x14ac:dyDescent="0.25">
      <c r="C57" s="4"/>
      <c r="D57" s="4"/>
      <c r="E57" s="4"/>
      <c r="F57" s="4"/>
      <c r="O57" s="304" t="s">
        <v>89</v>
      </c>
    </row>
    <row r="58" spans="3:15" x14ac:dyDescent="0.25">
      <c r="C58" s="4"/>
      <c r="D58" s="4"/>
      <c r="E58" s="4"/>
      <c r="F58" s="4"/>
      <c r="O58" s="304" t="s">
        <v>89</v>
      </c>
    </row>
    <row r="59" spans="3:15" x14ac:dyDescent="0.25">
      <c r="C59" s="4"/>
      <c r="D59" s="4"/>
      <c r="E59" s="4"/>
      <c r="F59" s="4"/>
      <c r="O59" s="304" t="s">
        <v>89</v>
      </c>
    </row>
    <row r="60" spans="3:15" x14ac:dyDescent="0.25">
      <c r="C60" s="4"/>
      <c r="D60" s="4"/>
      <c r="E60" s="4"/>
      <c r="F60" s="4"/>
      <c r="O60" s="304" t="s">
        <v>89</v>
      </c>
    </row>
    <row r="61" spans="3:15" x14ac:dyDescent="0.25">
      <c r="C61" s="4"/>
      <c r="D61" s="4"/>
      <c r="E61" s="4"/>
      <c r="F61" s="4"/>
      <c r="O61" s="304" t="s">
        <v>89</v>
      </c>
    </row>
    <row r="62" spans="3:15" x14ac:dyDescent="0.25">
      <c r="C62" s="4"/>
      <c r="D62" s="4"/>
      <c r="E62" s="4"/>
      <c r="F62" s="4"/>
      <c r="O62" s="304" t="s">
        <v>89</v>
      </c>
    </row>
    <row r="63" spans="3:15" x14ac:dyDescent="0.25">
      <c r="C63" s="1043" t="s">
        <v>1042</v>
      </c>
      <c r="D63" s="1111" t="str">
        <f>$D$4</f>
        <v>VB és TM</v>
      </c>
      <c r="E63" s="4"/>
      <c r="O63" s="304" t="s">
        <v>89</v>
      </c>
    </row>
    <row r="64" spans="3:15" x14ac:dyDescent="0.25">
      <c r="C64" s="1045"/>
      <c r="D64" s="1112"/>
      <c r="E64" s="4"/>
      <c r="O64" s="304" t="s">
        <v>89</v>
      </c>
    </row>
    <row r="65" spans="1:22" ht="6.75" customHeight="1" x14ac:dyDescent="0.25">
      <c r="C65" s="402"/>
      <c r="D65" s="402"/>
      <c r="E65" s="4"/>
      <c r="F65" s="4"/>
      <c r="O65" s="304" t="s">
        <v>89</v>
      </c>
    </row>
    <row r="66" spans="1:22" x14ac:dyDescent="0.25">
      <c r="C66" s="1139" t="s">
        <v>667</v>
      </c>
      <c r="D66" s="1141" t="s">
        <v>514</v>
      </c>
      <c r="E66" s="206" t="s">
        <v>89</v>
      </c>
      <c r="F66" s="971" t="s">
        <v>691</v>
      </c>
      <c r="G66" s="692"/>
      <c r="H66" s="692"/>
      <c r="I66" s="691"/>
      <c r="J66" s="971" t="s">
        <v>742</v>
      </c>
      <c r="K66" s="691"/>
      <c r="M66" s="735" t="s">
        <v>818</v>
      </c>
      <c r="N66" s="691"/>
      <c r="O66" s="304" t="s">
        <v>89</v>
      </c>
    </row>
    <row r="67" spans="1:22" x14ac:dyDescent="0.25">
      <c r="C67" s="1140"/>
      <c r="D67" s="1142"/>
      <c r="E67" s="206" t="s">
        <v>89</v>
      </c>
      <c r="F67" s="706" t="s">
        <v>644</v>
      </c>
      <c r="G67" s="706" t="s">
        <v>645</v>
      </c>
      <c r="H67" s="706" t="s">
        <v>131</v>
      </c>
      <c r="I67" s="706" t="s">
        <v>135</v>
      </c>
      <c r="J67" s="706" t="s">
        <v>131</v>
      </c>
      <c r="K67" s="706" t="s">
        <v>135</v>
      </c>
      <c r="M67" s="736" t="s">
        <v>819</v>
      </c>
      <c r="N67" s="737"/>
      <c r="O67" s="304" t="s">
        <v>89</v>
      </c>
    </row>
    <row r="68" spans="1:22" x14ac:dyDescent="0.25">
      <c r="C68" s="651" t="s">
        <v>642</v>
      </c>
      <c r="D68" s="385">
        <f>IF(COUNTIF(F68:I68,"&lt;&gt;-")&gt;0,SUM(F68:I68),"-")</f>
        <v>0</v>
      </c>
      <c r="E68" s="157" t="s">
        <v>89</v>
      </c>
      <c r="F68" s="385">
        <f>SUM('Shared-2013'!F68)</f>
        <v>0</v>
      </c>
      <c r="G68" s="385">
        <f>SUM('Shared-2013'!G68)</f>
        <v>0</v>
      </c>
      <c r="H68" s="385">
        <f>SUM('Shared-2013'!H68)</f>
        <v>0</v>
      </c>
      <c r="I68" s="385">
        <f>SUM('Shared-2013'!I68)</f>
        <v>0</v>
      </c>
      <c r="J68" s="385">
        <f>SUM('Shared-2013'!H73)</f>
        <v>0</v>
      </c>
      <c r="K68" s="385">
        <f>SUM('Shared-2013'!I73)</f>
        <v>0</v>
      </c>
      <c r="M68" s="738" t="s">
        <v>820</v>
      </c>
      <c r="N68" s="739"/>
      <c r="O68" s="304" t="s">
        <v>89</v>
      </c>
    </row>
    <row r="69" spans="1:22" x14ac:dyDescent="0.25">
      <c r="C69" s="943" t="s">
        <v>1118</v>
      </c>
      <c r="D69" s="449">
        <f>IF(COUNTIF(F69:F69,"&lt;&gt;-")&gt;0,SUM(F69:F69),"-")</f>
        <v>0</v>
      </c>
      <c r="E69" s="155"/>
      <c r="F69" s="444">
        <f>F68-SUM('Shared-2013'!F56:F58)+SUM('Shared-2013'!F67)+SUM(F21,F70,F71)</f>
        <v>0</v>
      </c>
      <c r="G69" s="416"/>
      <c r="H69" s="416"/>
      <c r="I69" s="416"/>
      <c r="J69" s="424"/>
      <c r="K69" s="425"/>
      <c r="M69" s="740" t="s">
        <v>821</v>
      </c>
      <c r="N69" s="448" t="str">
        <f>IF(I309&lt;&gt;"-",SUM(G11)-SUM(I309),"-")</f>
        <v>-</v>
      </c>
      <c r="O69" s="304" t="s">
        <v>89</v>
      </c>
    </row>
    <row r="70" spans="1:22" x14ac:dyDescent="0.25">
      <c r="C70" s="943" t="s">
        <v>708</v>
      </c>
      <c r="D70" s="416"/>
      <c r="E70" s="155" t="s">
        <v>89</v>
      </c>
      <c r="F70" s="444">
        <f>-SUM(I70)</f>
        <v>0</v>
      </c>
      <c r="G70" s="416"/>
      <c r="H70" s="416"/>
      <c r="I70" s="444">
        <f>SUM(M19)</f>
        <v>0</v>
      </c>
      <c r="J70" s="424"/>
      <c r="K70" s="425"/>
      <c r="O70" s="304"/>
    </row>
    <row r="71" spans="1:22" x14ac:dyDescent="0.25">
      <c r="A71" s="134" t="s">
        <v>826</v>
      </c>
      <c r="B71" s="135" t="str">
        <f>HYPERLINK(_TS_&amp;"#"&amp;SUBSTITUTE(A71,".","_"),"Open")</f>
        <v>Open</v>
      </c>
      <c r="C71" s="943" t="s">
        <v>643</v>
      </c>
      <c r="D71" s="449">
        <f>IF(COUNTIF(F71:F71,"&lt;&gt;-")&gt;0,SUM(F71:F71),"-")</f>
        <v>0</v>
      </c>
      <c r="E71" s="155" t="s">
        <v>89</v>
      </c>
      <c r="F71" s="444">
        <f>SUM(M88:M95)</f>
        <v>0</v>
      </c>
      <c r="G71" s="416"/>
      <c r="H71" s="416"/>
      <c r="I71" s="416"/>
      <c r="J71" s="424"/>
      <c r="K71" s="425"/>
      <c r="O71" s="304" t="s">
        <v>89</v>
      </c>
    </row>
    <row r="72" spans="1:22" x14ac:dyDescent="0.25">
      <c r="C72" s="944" t="s">
        <v>755</v>
      </c>
      <c r="D72" s="441">
        <f>IF(COUNTIF(F72:I72,"&lt;&gt;-")&gt;0,SUM(F72:I72),"-")</f>
        <v>0</v>
      </c>
      <c r="E72" s="161" t="s">
        <v>89</v>
      </c>
      <c r="F72" s="519" t="s">
        <v>521</v>
      </c>
      <c r="G72" s="519" t="s">
        <v>521</v>
      </c>
      <c r="H72" s="519" t="s">
        <v>521</v>
      </c>
      <c r="I72" s="440"/>
      <c r="J72" s="427"/>
      <c r="K72" s="428"/>
      <c r="O72" s="304" t="s">
        <v>89</v>
      </c>
    </row>
    <row r="73" spans="1:22" x14ac:dyDescent="0.25">
      <c r="C73" s="671" t="s">
        <v>1117</v>
      </c>
      <c r="D73" s="451">
        <f>IF(COUNTIF(F73:I73,"&lt;&gt;-")&gt;0,SUM(F73:I73),"-")</f>
        <v>0</v>
      </c>
      <c r="E73" s="206" t="s">
        <v>89</v>
      </c>
      <c r="F73" s="451">
        <f>SUM(F68,F21,F70:F72)</f>
        <v>0</v>
      </c>
      <c r="G73" s="451">
        <f>IF(COUNTIF(G68:G72,"&lt;&gt;-")&gt;0,SUM(G68:G72),"-")</f>
        <v>0</v>
      </c>
      <c r="H73" s="451">
        <f>IF(COUNTIF(H68:H72,"&lt;&gt;-")&gt;0,SUM(H68:H72),"-")</f>
        <v>0</v>
      </c>
      <c r="I73" s="451">
        <f>IF(COUNTIF(I68:I72,"&lt;&gt;-")&gt;0,SUM(I68:I72),"-")</f>
        <v>0</v>
      </c>
      <c r="O73" s="304" t="s">
        <v>89</v>
      </c>
    </row>
    <row r="74" spans="1:22" ht="6" customHeight="1" thickBot="1" x14ac:dyDescent="0.3">
      <c r="C74" s="237"/>
      <c r="D74" s="4"/>
      <c r="E74" s="4"/>
      <c r="F74" s="4"/>
      <c r="O74" s="304" t="s">
        <v>89</v>
      </c>
    </row>
    <row r="75" spans="1:22" x14ac:dyDescent="0.25">
      <c r="C75" s="267" t="s">
        <v>614</v>
      </c>
      <c r="D75" s="268"/>
      <c r="E75" s="268"/>
      <c r="F75" s="268"/>
      <c r="G75" s="268"/>
      <c r="H75" s="268"/>
      <c r="I75" s="268"/>
      <c r="J75" s="268"/>
      <c r="K75" s="268"/>
      <c r="L75" s="268"/>
      <c r="M75" s="268"/>
      <c r="N75" s="269"/>
      <c r="O75" s="304" t="s">
        <v>89</v>
      </c>
      <c r="P75" s="168" t="s">
        <v>730</v>
      </c>
      <c r="Q75" s="375" t="s">
        <v>545</v>
      </c>
      <c r="R75" s="1143" t="str">
        <f>Q77</f>
        <v>Market</v>
      </c>
      <c r="S75" s="1143" t="str">
        <f>Q78</f>
        <v>Default</v>
      </c>
      <c r="T75" s="1143" t="str">
        <f>Q79</f>
        <v>Life</v>
      </c>
      <c r="U75" s="1143" t="str">
        <f>Q80</f>
        <v>Health</v>
      </c>
      <c r="V75" s="1143" t="str">
        <f>Q81</f>
        <v>Non-Life</v>
      </c>
    </row>
    <row r="76" spans="1:22" ht="15" customHeight="1" thickBot="1" x14ac:dyDescent="0.3">
      <c r="A76" s="134" t="s">
        <v>764</v>
      </c>
      <c r="B76" s="135" t="str">
        <f>HYPERLINK(_TS_&amp;"#"&amp;SUBSTITUTE(A76,".","_"),"Open")</f>
        <v>Open</v>
      </c>
      <c r="C76" s="742" t="s">
        <v>601</v>
      </c>
      <c r="D76" s="743"/>
      <c r="E76" s="270" t="s">
        <v>89</v>
      </c>
      <c r="F76" s="744" t="s">
        <v>548</v>
      </c>
      <c r="G76" s="745" t="s">
        <v>549</v>
      </c>
      <c r="H76" s="745" t="s">
        <v>550</v>
      </c>
      <c r="I76" s="745" t="s">
        <v>551</v>
      </c>
      <c r="J76" s="745" t="s">
        <v>552</v>
      </c>
      <c r="K76" s="746" t="s">
        <v>553</v>
      </c>
      <c r="L76" s="747"/>
      <c r="M76" s="747"/>
      <c r="N76" s="748"/>
      <c r="O76" s="304" t="s">
        <v>89</v>
      </c>
      <c r="P76" s="134" t="s">
        <v>544</v>
      </c>
      <c r="Q76" s="376" t="s">
        <v>554</v>
      </c>
      <c r="R76" s="1144"/>
      <c r="S76" s="1144"/>
      <c r="T76" s="1144"/>
      <c r="U76" s="1144"/>
      <c r="V76" s="1144"/>
    </row>
    <row r="77" spans="1:22" ht="15.75" thickBot="1" x14ac:dyDescent="0.3">
      <c r="A77" s="134" t="s">
        <v>583</v>
      </c>
      <c r="B77" s="135" t="str">
        <f>HYPERLINK(_TS_&amp;"#"&amp;SUBSTITUTE(A77,".","_"),"Open")</f>
        <v>Open</v>
      </c>
      <c r="C77" s="749" t="s">
        <v>561</v>
      </c>
      <c r="D77" s="459">
        <f>SUM(D78,D81)</f>
        <v>0</v>
      </c>
      <c r="E77" s="209" t="s">
        <v>89</v>
      </c>
      <c r="F77" s="460">
        <f>SUM(F78:F83)</f>
        <v>0</v>
      </c>
      <c r="G77" s="429"/>
      <c r="H77" s="461">
        <f>SQRT(SUMPRODUCT(H79:H83,MMULT(Corr,H79:H83*1)))+H78</f>
        <v>0</v>
      </c>
      <c r="I77" s="430"/>
      <c r="J77" s="461">
        <f>SQRT(SUMPRODUCT(J79:J83,MMULT(Corr,J79:J83*1)))+J78</f>
        <v>0</v>
      </c>
      <c r="K77" s="750" t="s">
        <v>560</v>
      </c>
      <c r="L77" s="751"/>
      <c r="M77" s="751"/>
      <c r="N77" s="752"/>
      <c r="O77" s="304" t="s">
        <v>89</v>
      </c>
      <c r="P77" s="135" t="str">
        <f>HYPERLINK(_TS_&amp;"#"&amp;SUBSTITUTE(P76,".","_"),"Open")</f>
        <v>Open</v>
      </c>
      <c r="Q77" s="376" t="s">
        <v>546</v>
      </c>
      <c r="R77" s="169">
        <v>1</v>
      </c>
      <c r="S77" s="170">
        <f>R78</f>
        <v>0.25</v>
      </c>
      <c r="T77" s="170">
        <f>R79</f>
        <v>0.25</v>
      </c>
      <c r="U77" s="170">
        <f>R80</f>
        <v>0.25</v>
      </c>
      <c r="V77" s="171">
        <f>R81</f>
        <v>0.25</v>
      </c>
    </row>
    <row r="78" spans="1:22" ht="15.75" thickBot="1" x14ac:dyDescent="0.3">
      <c r="A78" s="134" t="s">
        <v>770</v>
      </c>
      <c r="B78" s="135" t="str">
        <f>HYPERLINK(_TS_&amp;"#"&amp;SUBSTITUTE(A78,".","_"),"Open")</f>
        <v>Open</v>
      </c>
      <c r="C78" s="753" t="s">
        <v>602</v>
      </c>
      <c r="D78" s="462">
        <f>-MAX(MIN(H77-J77,SUM(M20)),0)</f>
        <v>0</v>
      </c>
      <c r="E78" s="209" t="s">
        <v>89</v>
      </c>
      <c r="F78" s="463">
        <f>D111</f>
        <v>0</v>
      </c>
      <c r="G78" s="416"/>
      <c r="H78" s="444">
        <f>SUM(D111)</f>
        <v>0</v>
      </c>
      <c r="I78" s="416"/>
      <c r="J78" s="444">
        <f>H78</f>
        <v>0</v>
      </c>
      <c r="K78" s="754" t="s">
        <v>67</v>
      </c>
      <c r="L78" s="725"/>
      <c r="M78" s="725"/>
      <c r="N78" s="687"/>
      <c r="O78" s="304" t="s">
        <v>89</v>
      </c>
      <c r="P78" s="402"/>
      <c r="Q78" s="376" t="s">
        <v>547</v>
      </c>
      <c r="R78" s="172">
        <v>0.25</v>
      </c>
      <c r="S78" s="173">
        <v>1</v>
      </c>
      <c r="T78" s="174">
        <f>S79</f>
        <v>0.25</v>
      </c>
      <c r="U78" s="174">
        <f>S80</f>
        <v>0.25</v>
      </c>
      <c r="V78" s="175">
        <f>S81</f>
        <v>0.5</v>
      </c>
    </row>
    <row r="79" spans="1:22" ht="15.75" thickBot="1" x14ac:dyDescent="0.3">
      <c r="A79" s="134" t="s">
        <v>769</v>
      </c>
      <c r="B79" s="135" t="str">
        <f>HYPERLINK(_TS_&amp;"#"&amp;SUBSTITUTE(A79,".","_"),"Open")</f>
        <v>Open</v>
      </c>
      <c r="C79" s="755" t="s">
        <v>556</v>
      </c>
      <c r="D79" s="464">
        <f>SUM(H77,D78,H84)</f>
        <v>0</v>
      </c>
      <c r="E79" s="209" t="s">
        <v>89</v>
      </c>
      <c r="F79" s="444">
        <f>SUM(F101)</f>
        <v>0</v>
      </c>
      <c r="G79" s="444">
        <f t="shared" ref="G79:G84" si="1">SUM(H79)-SUM(F79)</f>
        <v>0</v>
      </c>
      <c r="H79" s="444">
        <f>SUM(H101)</f>
        <v>0</v>
      </c>
      <c r="I79" s="444">
        <f>MIN(SUM(J79)-SUM(H79),0)</f>
        <v>0</v>
      </c>
      <c r="J79" s="444">
        <f>SUM(J101)</f>
        <v>0</v>
      </c>
      <c r="K79" s="754" t="s">
        <v>164</v>
      </c>
      <c r="L79" s="725"/>
      <c r="M79" s="725"/>
      <c r="N79" s="687"/>
      <c r="O79" s="304" t="s">
        <v>89</v>
      </c>
      <c r="P79" s="402"/>
      <c r="Q79" s="176" t="s">
        <v>504</v>
      </c>
      <c r="R79" s="172">
        <v>0.25</v>
      </c>
      <c r="S79" s="173">
        <v>0.25</v>
      </c>
      <c r="T79" s="173">
        <v>1</v>
      </c>
      <c r="U79" s="174">
        <f>T80</f>
        <v>0.25</v>
      </c>
      <c r="V79" s="177">
        <f>T81</f>
        <v>0</v>
      </c>
    </row>
    <row r="80" spans="1:22" ht="15.75" thickBot="1" x14ac:dyDescent="0.3">
      <c r="C80" s="686" t="s">
        <v>558</v>
      </c>
      <c r="D80" s="530" t="s">
        <v>521</v>
      </c>
      <c r="E80" s="209" t="s">
        <v>89</v>
      </c>
      <c r="F80" s="463">
        <f>SUM(F111)</f>
        <v>0</v>
      </c>
      <c r="G80" s="444">
        <f t="shared" si="1"/>
        <v>0</v>
      </c>
      <c r="H80" s="444">
        <f>SUM(H111)</f>
        <v>0</v>
      </c>
      <c r="I80" s="444">
        <f>MIN(SUM(J80)-SUM(H80),0)</f>
        <v>0</v>
      </c>
      <c r="J80" s="444">
        <f>SUM(J111)</f>
        <v>0</v>
      </c>
      <c r="K80" s="756" t="s">
        <v>165</v>
      </c>
      <c r="L80" s="725"/>
      <c r="M80" s="725"/>
      <c r="N80" s="687"/>
      <c r="O80" s="304" t="s">
        <v>89</v>
      </c>
      <c r="P80" s="402"/>
      <c r="Q80" s="376" t="s">
        <v>515</v>
      </c>
      <c r="R80" s="172">
        <v>0.25</v>
      </c>
      <c r="S80" s="173">
        <v>0.25</v>
      </c>
      <c r="T80" s="173">
        <v>0.25</v>
      </c>
      <c r="U80" s="173">
        <v>1</v>
      </c>
      <c r="V80" s="177">
        <f>U81</f>
        <v>0</v>
      </c>
    </row>
    <row r="81" spans="1:22" ht="15.75" thickBot="1" x14ac:dyDescent="0.3">
      <c r="A81" s="134" t="s">
        <v>583</v>
      </c>
      <c r="B81" s="135" t="str">
        <f>HYPERLINK(_TS_&amp;"#"&amp;SUBSTITUTE(A81,".","_"),"Open")</f>
        <v>Open</v>
      </c>
      <c r="C81" s="753" t="s">
        <v>559</v>
      </c>
      <c r="D81" s="462" t="str">
        <f>IF(D80="-","-",MIN(0,(SUM(D80)-(SUM(F19)-SUM(D19)))))</f>
        <v>-</v>
      </c>
      <c r="E81" s="209" t="s">
        <v>89</v>
      </c>
      <c r="F81" s="463">
        <f>SUM(F116)</f>
        <v>0</v>
      </c>
      <c r="G81" s="444">
        <f t="shared" si="1"/>
        <v>0</v>
      </c>
      <c r="H81" s="444">
        <f>SUM(H116)</f>
        <v>0</v>
      </c>
      <c r="I81" s="444">
        <f>MIN(SUM(J81)-SUM(H81),0)</f>
        <v>0</v>
      </c>
      <c r="J81" s="444">
        <f>SUM(J116)</f>
        <v>0</v>
      </c>
      <c r="K81" s="756" t="s">
        <v>600</v>
      </c>
      <c r="L81" s="725"/>
      <c r="M81" s="725"/>
      <c r="N81" s="687"/>
      <c r="O81" s="304" t="s">
        <v>89</v>
      </c>
      <c r="P81" s="402"/>
      <c r="Q81" s="376" t="s">
        <v>516</v>
      </c>
      <c r="R81" s="178">
        <v>0.25</v>
      </c>
      <c r="S81" s="179">
        <v>0.5</v>
      </c>
      <c r="T81" s="179">
        <v>0</v>
      </c>
      <c r="U81" s="179">
        <v>0</v>
      </c>
      <c r="V81" s="180">
        <v>1</v>
      </c>
    </row>
    <row r="82" spans="1:22" x14ac:dyDescent="0.25">
      <c r="C82" s="431"/>
      <c r="D82" s="432"/>
      <c r="E82" s="294" t="s">
        <v>89</v>
      </c>
      <c r="F82" s="463">
        <f>SUM(F126)</f>
        <v>0</v>
      </c>
      <c r="G82" s="444">
        <f t="shared" si="1"/>
        <v>0</v>
      </c>
      <c r="H82" s="465">
        <f>SUM(H126)</f>
        <v>0</v>
      </c>
      <c r="I82" s="444">
        <f>MIN(SUM(J82)-SUM(H82),0)</f>
        <v>0</v>
      </c>
      <c r="J82" s="447">
        <f>SUM(J126)</f>
        <v>0</v>
      </c>
      <c r="K82" s="756" t="s">
        <v>555</v>
      </c>
      <c r="L82" s="725"/>
      <c r="M82" s="725"/>
      <c r="N82" s="687"/>
      <c r="O82" s="304" t="s">
        <v>89</v>
      </c>
    </row>
    <row r="83" spans="1:22" x14ac:dyDescent="0.25">
      <c r="C83" s="427"/>
      <c r="D83" s="428"/>
      <c r="E83" s="294" t="s">
        <v>89</v>
      </c>
      <c r="F83" s="463">
        <f>SUM(D126)</f>
        <v>0</v>
      </c>
      <c r="G83" s="444">
        <f t="shared" si="1"/>
        <v>0</v>
      </c>
      <c r="H83" s="465">
        <f>SUM(D126)</f>
        <v>0</v>
      </c>
      <c r="I83" s="416"/>
      <c r="J83" s="447">
        <f>SUM(H83)</f>
        <v>0</v>
      </c>
      <c r="K83" s="756" t="s">
        <v>166</v>
      </c>
      <c r="L83" s="725"/>
      <c r="M83" s="725"/>
      <c r="N83" s="687"/>
      <c r="O83" s="304" t="s">
        <v>89</v>
      </c>
    </row>
    <row r="84" spans="1:22" ht="15.75" thickBot="1" x14ac:dyDescent="0.3">
      <c r="C84" s="686" t="s">
        <v>604</v>
      </c>
      <c r="D84" s="757"/>
      <c r="E84" s="209" t="s">
        <v>89</v>
      </c>
      <c r="F84" s="466">
        <f>SUM(D116)</f>
        <v>0</v>
      </c>
      <c r="G84" s="467">
        <f t="shared" si="1"/>
        <v>0</v>
      </c>
      <c r="H84" s="468">
        <f>SUM(D116)</f>
        <v>0</v>
      </c>
      <c r="I84" s="433"/>
      <c r="J84" s="469">
        <f>H84</f>
        <v>0</v>
      </c>
      <c r="K84" s="758" t="s">
        <v>557</v>
      </c>
      <c r="L84" s="759"/>
      <c r="M84" s="759"/>
      <c r="N84" s="760"/>
      <c r="O84" s="304" t="s">
        <v>89</v>
      </c>
    </row>
    <row r="85" spans="1:22" x14ac:dyDescent="0.25">
      <c r="C85" s="688" t="s">
        <v>603</v>
      </c>
      <c r="D85" s="531" t="s">
        <v>521</v>
      </c>
      <c r="E85" s="271" t="s">
        <v>89</v>
      </c>
      <c r="F85" s="470">
        <f>SUM(L88:L95)</f>
        <v>0</v>
      </c>
      <c r="G85" s="532" t="s">
        <v>521</v>
      </c>
      <c r="H85" s="471">
        <f>SUM(J85)</f>
        <v>0</v>
      </c>
      <c r="I85" s="434"/>
      <c r="J85" s="472">
        <f>SUM(F85:G85)</f>
        <v>0</v>
      </c>
      <c r="K85" s="761" t="s">
        <v>611</v>
      </c>
      <c r="L85" s="762"/>
      <c r="M85" s="762"/>
      <c r="N85" s="763"/>
      <c r="O85" s="304" t="s">
        <v>89</v>
      </c>
    </row>
    <row r="86" spans="1:22" ht="6" customHeight="1" x14ac:dyDescent="0.25">
      <c r="C86" s="4"/>
      <c r="D86" s="4"/>
      <c r="E86" s="4"/>
      <c r="F86" s="4"/>
      <c r="O86" s="304" t="s">
        <v>89</v>
      </c>
    </row>
    <row r="87" spans="1:22" ht="36" x14ac:dyDescent="0.25">
      <c r="C87" s="1147" t="s">
        <v>998</v>
      </c>
      <c r="D87" s="1148"/>
      <c r="E87" s="307" t="s">
        <v>89</v>
      </c>
      <c r="F87" s="764" t="s">
        <v>993</v>
      </c>
      <c r="G87" s="764" t="s">
        <v>165</v>
      </c>
      <c r="H87" s="764" t="s">
        <v>994</v>
      </c>
      <c r="I87" s="764" t="s">
        <v>555</v>
      </c>
      <c r="J87" s="764" t="s">
        <v>995</v>
      </c>
      <c r="K87" s="764" t="s">
        <v>557</v>
      </c>
      <c r="L87" s="764" t="s">
        <v>996</v>
      </c>
      <c r="M87" s="764" t="s">
        <v>997</v>
      </c>
      <c r="O87" s="304" t="s">
        <v>89</v>
      </c>
    </row>
    <row r="88" spans="1:22" x14ac:dyDescent="0.25">
      <c r="C88" s="977" t="s">
        <v>986</v>
      </c>
      <c r="D88" s="533"/>
      <c r="E88" s="304" t="s">
        <v>89</v>
      </c>
      <c r="F88" s="528" t="s">
        <v>521</v>
      </c>
      <c r="G88" s="528" t="s">
        <v>521</v>
      </c>
      <c r="H88" s="528" t="s">
        <v>521</v>
      </c>
      <c r="I88" s="528" t="s">
        <v>521</v>
      </c>
      <c r="J88" s="528" t="s">
        <v>521</v>
      </c>
      <c r="K88" s="528" t="s">
        <v>521</v>
      </c>
      <c r="L88" s="528" t="s">
        <v>521</v>
      </c>
      <c r="M88" s="528" t="s">
        <v>521</v>
      </c>
      <c r="O88" s="304" t="s">
        <v>89</v>
      </c>
    </row>
    <row r="89" spans="1:22" x14ac:dyDescent="0.25">
      <c r="C89" s="977" t="s">
        <v>985</v>
      </c>
      <c r="D89" s="533"/>
      <c r="E89" s="304" t="s">
        <v>89</v>
      </c>
      <c r="F89" s="514" t="s">
        <v>521</v>
      </c>
      <c r="G89" s="514" t="s">
        <v>521</v>
      </c>
      <c r="H89" s="514" t="s">
        <v>521</v>
      </c>
      <c r="I89" s="514" t="s">
        <v>521</v>
      </c>
      <c r="J89" s="514" t="s">
        <v>521</v>
      </c>
      <c r="K89" s="514" t="s">
        <v>521</v>
      </c>
      <c r="L89" s="514" t="s">
        <v>521</v>
      </c>
      <c r="M89" s="514" t="s">
        <v>521</v>
      </c>
      <c r="O89" s="304" t="s">
        <v>89</v>
      </c>
    </row>
    <row r="90" spans="1:22" x14ac:dyDescent="0.25">
      <c r="C90" s="977" t="s">
        <v>987</v>
      </c>
      <c r="D90" s="533"/>
      <c r="E90" s="304" t="s">
        <v>89</v>
      </c>
      <c r="F90" s="514" t="s">
        <v>521</v>
      </c>
      <c r="G90" s="514" t="s">
        <v>521</v>
      </c>
      <c r="H90" s="514" t="s">
        <v>521</v>
      </c>
      <c r="I90" s="514" t="s">
        <v>521</v>
      </c>
      <c r="J90" s="514" t="s">
        <v>521</v>
      </c>
      <c r="K90" s="514" t="s">
        <v>521</v>
      </c>
      <c r="L90" s="514" t="s">
        <v>521</v>
      </c>
      <c r="M90" s="514" t="s">
        <v>521</v>
      </c>
      <c r="O90" s="304" t="s">
        <v>89</v>
      </c>
    </row>
    <row r="91" spans="1:22" x14ac:dyDescent="0.25">
      <c r="C91" s="977" t="s">
        <v>988</v>
      </c>
      <c r="D91" s="533"/>
      <c r="E91" s="304" t="s">
        <v>89</v>
      </c>
      <c r="F91" s="514" t="s">
        <v>521</v>
      </c>
      <c r="G91" s="514" t="s">
        <v>521</v>
      </c>
      <c r="H91" s="514" t="s">
        <v>521</v>
      </c>
      <c r="I91" s="514" t="s">
        <v>521</v>
      </c>
      <c r="J91" s="514" t="s">
        <v>521</v>
      </c>
      <c r="K91" s="514" t="s">
        <v>521</v>
      </c>
      <c r="L91" s="514" t="s">
        <v>521</v>
      </c>
      <c r="M91" s="514" t="s">
        <v>521</v>
      </c>
      <c r="O91" s="304" t="s">
        <v>89</v>
      </c>
    </row>
    <row r="92" spans="1:22" x14ac:dyDescent="0.25">
      <c r="C92" s="977" t="s">
        <v>989</v>
      </c>
      <c r="D92" s="533"/>
      <c r="E92" s="304" t="s">
        <v>89</v>
      </c>
      <c r="F92" s="514" t="s">
        <v>521</v>
      </c>
      <c r="G92" s="514" t="s">
        <v>521</v>
      </c>
      <c r="H92" s="514" t="s">
        <v>521</v>
      </c>
      <c r="I92" s="514" t="s">
        <v>521</v>
      </c>
      <c r="J92" s="514" t="s">
        <v>521</v>
      </c>
      <c r="K92" s="514" t="s">
        <v>521</v>
      </c>
      <c r="L92" s="514" t="s">
        <v>521</v>
      </c>
      <c r="M92" s="514" t="s">
        <v>521</v>
      </c>
      <c r="O92" s="304" t="s">
        <v>89</v>
      </c>
    </row>
    <row r="93" spans="1:22" x14ac:dyDescent="0.25">
      <c r="C93" s="977" t="s">
        <v>990</v>
      </c>
      <c r="D93" s="533"/>
      <c r="E93" s="304" t="s">
        <v>89</v>
      </c>
      <c r="F93" s="514" t="s">
        <v>521</v>
      </c>
      <c r="G93" s="514" t="s">
        <v>521</v>
      </c>
      <c r="H93" s="514" t="s">
        <v>521</v>
      </c>
      <c r="I93" s="514" t="s">
        <v>521</v>
      </c>
      <c r="J93" s="514" t="s">
        <v>521</v>
      </c>
      <c r="K93" s="514" t="s">
        <v>521</v>
      </c>
      <c r="L93" s="514" t="s">
        <v>521</v>
      </c>
      <c r="M93" s="514" t="s">
        <v>521</v>
      </c>
      <c r="O93" s="304" t="s">
        <v>89</v>
      </c>
    </row>
    <row r="94" spans="1:22" x14ac:dyDescent="0.25">
      <c r="C94" s="977" t="s">
        <v>991</v>
      </c>
      <c r="D94" s="533"/>
      <c r="E94" s="304" t="s">
        <v>89</v>
      </c>
      <c r="F94" s="514" t="s">
        <v>521</v>
      </c>
      <c r="G94" s="514" t="s">
        <v>521</v>
      </c>
      <c r="H94" s="514" t="s">
        <v>521</v>
      </c>
      <c r="I94" s="514" t="s">
        <v>521</v>
      </c>
      <c r="J94" s="514" t="s">
        <v>521</v>
      </c>
      <c r="K94" s="514" t="s">
        <v>521</v>
      </c>
      <c r="L94" s="514" t="s">
        <v>521</v>
      </c>
      <c r="M94" s="514" t="s">
        <v>521</v>
      </c>
      <c r="O94" s="304" t="s">
        <v>89</v>
      </c>
    </row>
    <row r="95" spans="1:22" x14ac:dyDescent="0.25">
      <c r="C95" s="765" t="s">
        <v>992</v>
      </c>
      <c r="D95" s="765"/>
      <c r="E95" s="308" t="s">
        <v>89</v>
      </c>
      <c r="F95" s="519" t="s">
        <v>521</v>
      </c>
      <c r="G95" s="519" t="s">
        <v>521</v>
      </c>
      <c r="H95" s="519" t="s">
        <v>521</v>
      </c>
      <c r="I95" s="519" t="s">
        <v>521</v>
      </c>
      <c r="J95" s="519" t="s">
        <v>521</v>
      </c>
      <c r="K95" s="519" t="s">
        <v>521</v>
      </c>
      <c r="L95" s="519" t="s">
        <v>521</v>
      </c>
      <c r="M95" s="519" t="s">
        <v>521</v>
      </c>
      <c r="O95" s="304" t="s">
        <v>89</v>
      </c>
    </row>
    <row r="96" spans="1:22" ht="8.25" customHeight="1" x14ac:dyDescent="0.25">
      <c r="C96" s="4"/>
      <c r="D96" s="4"/>
      <c r="E96" s="4"/>
      <c r="F96" s="4"/>
      <c r="O96" s="304" t="s">
        <v>89</v>
      </c>
    </row>
    <row r="97" spans="1:24" x14ac:dyDescent="0.25">
      <c r="C97" s="1043" t="s">
        <v>1043</v>
      </c>
      <c r="D97" s="1111" t="str">
        <f>$D$4</f>
        <v>VB és TM</v>
      </c>
      <c r="E97" s="402"/>
      <c r="F97" s="402"/>
      <c r="G97" s="402"/>
      <c r="I97" s="402"/>
      <c r="J97" s="402"/>
      <c r="K97" s="402"/>
      <c r="L97" s="402"/>
      <c r="M97" s="402"/>
      <c r="N97" s="402"/>
      <c r="O97" s="304" t="s">
        <v>89</v>
      </c>
    </row>
    <row r="98" spans="1:24" x14ac:dyDescent="0.25">
      <c r="C98" s="1045"/>
      <c r="D98" s="1112"/>
      <c r="E98" s="402"/>
      <c r="F98" s="402"/>
      <c r="G98" s="402"/>
      <c r="I98" s="402"/>
      <c r="J98" s="402"/>
      <c r="K98" s="402"/>
      <c r="L98" s="402"/>
      <c r="M98" s="402"/>
      <c r="N98" s="402"/>
      <c r="O98" s="304" t="s">
        <v>89</v>
      </c>
    </row>
    <row r="99" spans="1:24" ht="6.75" customHeight="1" thickBot="1" x14ac:dyDescent="0.3">
      <c r="C99" s="402"/>
      <c r="D99" s="402"/>
      <c r="E99" s="402"/>
      <c r="F99" s="402"/>
      <c r="G99" s="402"/>
      <c r="H99" s="402"/>
      <c r="I99" s="402"/>
      <c r="J99" s="402"/>
      <c r="K99" s="402"/>
      <c r="L99" s="402"/>
      <c r="M99" s="402"/>
      <c r="N99" s="402"/>
      <c r="O99" s="304" t="s">
        <v>89</v>
      </c>
    </row>
    <row r="100" spans="1:24" ht="15" customHeight="1" x14ac:dyDescent="0.25">
      <c r="C100" s="285" t="s">
        <v>778</v>
      </c>
      <c r="D100" s="182"/>
      <c r="E100" s="402"/>
      <c r="F100" s="695" t="s">
        <v>548</v>
      </c>
      <c r="G100" s="695" t="s">
        <v>549</v>
      </c>
      <c r="H100" s="695" t="s">
        <v>550</v>
      </c>
      <c r="I100" s="695" t="s">
        <v>551</v>
      </c>
      <c r="J100" s="695" t="s">
        <v>552</v>
      </c>
      <c r="K100" s="165" t="s">
        <v>563</v>
      </c>
      <c r="L100" s="166"/>
      <c r="M100" s="166"/>
      <c r="N100" s="167"/>
      <c r="O100" s="304" t="s">
        <v>89</v>
      </c>
      <c r="P100" s="168" t="s">
        <v>148</v>
      </c>
      <c r="Q100" s="375" t="s">
        <v>545</v>
      </c>
      <c r="R100" s="1145" t="str">
        <f>Q102</f>
        <v>Interest</v>
      </c>
      <c r="S100" s="1145" t="str">
        <f>Q103</f>
        <v xml:space="preserve">Equity </v>
      </c>
      <c r="T100" s="1145" t="str">
        <f>Q104</f>
        <v>Property</v>
      </c>
      <c r="U100" s="1145" t="str">
        <f>Q105</f>
        <v>Spread</v>
      </c>
      <c r="V100" s="1145" t="str">
        <f>Q106</f>
        <v>Currency</v>
      </c>
      <c r="W100" s="1145" t="str">
        <f>Q107</f>
        <v>Concentration</v>
      </c>
      <c r="X100" s="1145" t="str">
        <f>Q108</f>
        <v>Counter-cyclical premium</v>
      </c>
    </row>
    <row r="101" spans="1:24" ht="15.75" thickBot="1" x14ac:dyDescent="0.3">
      <c r="C101" s="651" t="s">
        <v>779</v>
      </c>
      <c r="D101" s="528" t="s">
        <v>521</v>
      </c>
      <c r="E101" s="402"/>
      <c r="F101" s="453">
        <f>SUM(H102:H108)</f>
        <v>0</v>
      </c>
      <c r="G101" s="453">
        <f>SUM(H101)-SUM(F101)</f>
        <v>0</v>
      </c>
      <c r="H101" s="448">
        <f>SQRT(SUMPRODUCT(H102:H108,MMULT(CorrMkt,H102:H108*1)))</f>
        <v>0</v>
      </c>
      <c r="I101" s="448">
        <f>SUM(H101)-SUM(J101)</f>
        <v>0</v>
      </c>
      <c r="J101" s="448">
        <f>SQRT(SUMPRODUCT(J102:J108,MMULT(CorrMkt,J102:J108*1)))</f>
        <v>0</v>
      </c>
      <c r="K101" s="766" t="s">
        <v>567</v>
      </c>
      <c r="L101" s="723"/>
      <c r="M101" s="723"/>
      <c r="N101" s="685"/>
      <c r="O101" s="304" t="s">
        <v>89</v>
      </c>
      <c r="P101" s="134" t="s">
        <v>612</v>
      </c>
      <c r="Q101" s="376" t="s">
        <v>554</v>
      </c>
      <c r="R101" s="1146"/>
      <c r="S101" s="1146"/>
      <c r="T101" s="1146"/>
      <c r="U101" s="1146"/>
      <c r="V101" s="1146"/>
      <c r="W101" s="1146"/>
      <c r="X101" s="1146"/>
    </row>
    <row r="102" spans="1:24" ht="15.75" thickBot="1" x14ac:dyDescent="0.3">
      <c r="C102" s="693" t="s">
        <v>780</v>
      </c>
      <c r="D102" s="519" t="s">
        <v>521</v>
      </c>
      <c r="E102" s="402"/>
      <c r="F102" s="767" t="s">
        <v>568</v>
      </c>
      <c r="G102" s="183">
        <f>IF(J137="Up",0%,50%)</f>
        <v>0.5</v>
      </c>
      <c r="H102" s="444">
        <f>SUM(J136)</f>
        <v>0</v>
      </c>
      <c r="I102" s="444">
        <f>SUM(J102)-SUM(H102)</f>
        <v>0</v>
      </c>
      <c r="J102" s="444">
        <f>SUM(L136)</f>
        <v>0</v>
      </c>
      <c r="K102" s="768" t="s">
        <v>569</v>
      </c>
      <c r="L102" s="769"/>
      <c r="M102" s="769"/>
      <c r="N102" s="607"/>
      <c r="O102" s="304" t="s">
        <v>89</v>
      </c>
      <c r="P102" s="135" t="str">
        <f>HYPERLINK(_TS_&amp;"#"&amp;SUBSTITUTE(P101,".","_"),"Open")</f>
        <v>Open</v>
      </c>
      <c r="Q102" s="184" t="s">
        <v>149</v>
      </c>
      <c r="R102" s="185">
        <v>1</v>
      </c>
      <c r="S102" s="186">
        <f>R103</f>
        <v>0.5</v>
      </c>
      <c r="T102" s="186">
        <f>S102</f>
        <v>0.5</v>
      </c>
      <c r="U102" s="186">
        <f>T102</f>
        <v>0.5</v>
      </c>
      <c r="V102" s="187">
        <f>R106</f>
        <v>0.25</v>
      </c>
      <c r="W102" s="187">
        <f>R107</f>
        <v>0</v>
      </c>
      <c r="X102" s="188">
        <f>R108</f>
        <v>0</v>
      </c>
    </row>
    <row r="103" spans="1:24" ht="15.75" thickBot="1" x14ac:dyDescent="0.3">
      <c r="E103" s="402"/>
      <c r="F103" s="424"/>
      <c r="G103" s="435"/>
      <c r="H103" s="444">
        <f>SUM(J140)</f>
        <v>0</v>
      </c>
      <c r="I103" s="444">
        <f t="shared" ref="I103:I108" si="2">SUM(J103)-SUM(H103)</f>
        <v>0</v>
      </c>
      <c r="J103" s="444">
        <f>SUM(L140)</f>
        <v>0</v>
      </c>
      <c r="K103" s="756" t="s">
        <v>570</v>
      </c>
      <c r="L103" s="734"/>
      <c r="M103" s="734"/>
      <c r="N103" s="770"/>
      <c r="O103" s="304" t="s">
        <v>89</v>
      </c>
      <c r="P103" s="402"/>
      <c r="Q103" s="184" t="s">
        <v>150</v>
      </c>
      <c r="R103" s="190">
        <f>R109</f>
        <v>0.5</v>
      </c>
      <c r="S103" s="302">
        <v>1</v>
      </c>
      <c r="T103" s="192">
        <f>S104</f>
        <v>0.75</v>
      </c>
      <c r="U103" s="192">
        <f>S105</f>
        <v>0.75</v>
      </c>
      <c r="V103" s="192">
        <f>S106</f>
        <v>0.25</v>
      </c>
      <c r="W103" s="192">
        <f>S107</f>
        <v>0</v>
      </c>
      <c r="X103" s="193">
        <f>S108</f>
        <v>0</v>
      </c>
    </row>
    <row r="104" spans="1:24" ht="15.75" thickBot="1" x14ac:dyDescent="0.3">
      <c r="C104" s="4"/>
      <c r="D104" s="4"/>
      <c r="E104" s="402"/>
      <c r="F104" s="424"/>
      <c r="G104" s="435"/>
      <c r="H104" s="444">
        <f>SUM(J147)</f>
        <v>0</v>
      </c>
      <c r="I104" s="444">
        <f t="shared" si="2"/>
        <v>0</v>
      </c>
      <c r="J104" s="444">
        <f>SUM(L147)</f>
        <v>0</v>
      </c>
      <c r="K104" s="756" t="s">
        <v>571</v>
      </c>
      <c r="L104" s="734"/>
      <c r="M104" s="734"/>
      <c r="N104" s="770"/>
      <c r="O104" s="304" t="s">
        <v>89</v>
      </c>
      <c r="P104" s="402"/>
      <c r="Q104" s="184" t="s">
        <v>57</v>
      </c>
      <c r="R104" s="190">
        <f>R103</f>
        <v>0.5</v>
      </c>
      <c r="S104" s="302">
        <v>0.75</v>
      </c>
      <c r="T104" s="302">
        <v>1</v>
      </c>
      <c r="U104" s="192">
        <f>T105</f>
        <v>0.5</v>
      </c>
      <c r="V104" s="192">
        <f>T106</f>
        <v>0.25</v>
      </c>
      <c r="W104" s="192">
        <f>T107</f>
        <v>0</v>
      </c>
      <c r="X104" s="193">
        <f>U108</f>
        <v>0</v>
      </c>
    </row>
    <row r="105" spans="1:24" ht="15.75" thickBot="1" x14ac:dyDescent="0.3">
      <c r="C105" s="4"/>
      <c r="D105" s="4"/>
      <c r="E105" s="402"/>
      <c r="F105" s="424"/>
      <c r="G105" s="435"/>
      <c r="H105" s="444">
        <f>SUM(J148)</f>
        <v>0</v>
      </c>
      <c r="I105" s="444">
        <f t="shared" si="2"/>
        <v>0</v>
      </c>
      <c r="J105" s="444">
        <f>SUM(L148)</f>
        <v>0</v>
      </c>
      <c r="K105" s="756" t="s">
        <v>572</v>
      </c>
      <c r="L105" s="734"/>
      <c r="M105" s="734"/>
      <c r="N105" s="770"/>
      <c r="O105" s="304" t="s">
        <v>89</v>
      </c>
      <c r="P105" s="402"/>
      <c r="Q105" s="184" t="s">
        <v>58</v>
      </c>
      <c r="R105" s="190">
        <f>R104</f>
        <v>0.5</v>
      </c>
      <c r="S105" s="302">
        <v>0.75</v>
      </c>
      <c r="T105" s="302">
        <v>0.5</v>
      </c>
      <c r="U105" s="302">
        <v>1</v>
      </c>
      <c r="V105" s="192">
        <f>U106</f>
        <v>0.25</v>
      </c>
      <c r="W105" s="192">
        <f>U107</f>
        <v>0</v>
      </c>
      <c r="X105" s="193">
        <f>U108</f>
        <v>0</v>
      </c>
    </row>
    <row r="106" spans="1:24" ht="15.75" thickBot="1" x14ac:dyDescent="0.3">
      <c r="C106" s="4"/>
      <c r="D106" s="4"/>
      <c r="E106" s="402"/>
      <c r="F106" s="424"/>
      <c r="G106" s="435"/>
      <c r="H106" s="444">
        <f>SUM(J155)</f>
        <v>0</v>
      </c>
      <c r="I106" s="444">
        <f t="shared" si="2"/>
        <v>0</v>
      </c>
      <c r="J106" s="444">
        <f>SUM(L155)</f>
        <v>0</v>
      </c>
      <c r="K106" s="756" t="s">
        <v>573</v>
      </c>
      <c r="L106" s="734"/>
      <c r="M106" s="734"/>
      <c r="N106" s="770"/>
      <c r="O106" s="304" t="s">
        <v>89</v>
      </c>
      <c r="P106" s="402"/>
      <c r="Q106" s="184" t="s">
        <v>37</v>
      </c>
      <c r="R106" s="194">
        <v>0.25</v>
      </c>
      <c r="S106" s="302">
        <v>0.25</v>
      </c>
      <c r="T106" s="302">
        <v>0.25</v>
      </c>
      <c r="U106" s="302">
        <v>0.25</v>
      </c>
      <c r="V106" s="302">
        <v>1</v>
      </c>
      <c r="W106" s="192">
        <f>V107</f>
        <v>0</v>
      </c>
      <c r="X106" s="193">
        <f>V108</f>
        <v>0</v>
      </c>
    </row>
    <row r="107" spans="1:24" ht="15.75" thickBot="1" x14ac:dyDescent="0.3">
      <c r="E107" s="402"/>
      <c r="F107" s="424"/>
      <c r="G107" s="435"/>
      <c r="H107" s="444">
        <f>SUM(J158)</f>
        <v>0</v>
      </c>
      <c r="I107" s="444">
        <f t="shared" si="2"/>
        <v>0</v>
      </c>
      <c r="J107" s="444">
        <f>SUM(L158)</f>
        <v>0</v>
      </c>
      <c r="K107" s="756" t="s">
        <v>574</v>
      </c>
      <c r="L107" s="734"/>
      <c r="M107" s="734"/>
      <c r="N107" s="770"/>
      <c r="O107" s="304" t="s">
        <v>89</v>
      </c>
      <c r="P107" s="402"/>
      <c r="Q107" s="195" t="s">
        <v>59</v>
      </c>
      <c r="R107" s="194">
        <v>0</v>
      </c>
      <c r="S107" s="302">
        <v>0</v>
      </c>
      <c r="T107" s="302">
        <v>0</v>
      </c>
      <c r="U107" s="302">
        <v>0</v>
      </c>
      <c r="V107" s="302">
        <v>0</v>
      </c>
      <c r="W107" s="302">
        <v>1</v>
      </c>
      <c r="X107" s="196">
        <f>W108</f>
        <v>0</v>
      </c>
    </row>
    <row r="108" spans="1:24" ht="15.75" thickBot="1" x14ac:dyDescent="0.3">
      <c r="C108" s="4"/>
      <c r="D108" s="4"/>
      <c r="E108" s="402"/>
      <c r="F108" s="427"/>
      <c r="G108" s="436"/>
      <c r="H108" s="456">
        <f>SUM(J159)</f>
        <v>0</v>
      </c>
      <c r="I108" s="456">
        <f t="shared" si="2"/>
        <v>0</v>
      </c>
      <c r="J108" s="456">
        <f>SUM(L159)</f>
        <v>0</v>
      </c>
      <c r="K108" s="771" t="s">
        <v>1165</v>
      </c>
      <c r="L108" s="772"/>
      <c r="M108" s="772"/>
      <c r="N108" s="773"/>
      <c r="O108" s="304" t="s">
        <v>89</v>
      </c>
      <c r="P108" s="402"/>
      <c r="Q108" s="195" t="s">
        <v>564</v>
      </c>
      <c r="R108" s="197">
        <v>0</v>
      </c>
      <c r="S108" s="198">
        <v>0</v>
      </c>
      <c r="T108" s="198">
        <v>0</v>
      </c>
      <c r="U108" s="198">
        <v>0</v>
      </c>
      <c r="V108" s="199">
        <v>0</v>
      </c>
      <c r="W108" s="199">
        <v>0</v>
      </c>
      <c r="X108" s="200">
        <v>1</v>
      </c>
    </row>
    <row r="109" spans="1:24" ht="6.75" customHeight="1" x14ac:dyDescent="0.25">
      <c r="C109" s="4"/>
      <c r="D109" s="4"/>
      <c r="E109" s="402"/>
      <c r="F109" s="402"/>
      <c r="G109" s="402"/>
      <c r="H109" s="402"/>
      <c r="I109" s="402"/>
      <c r="J109" s="402"/>
      <c r="K109" s="377"/>
      <c r="L109" s="377"/>
      <c r="M109" s="377"/>
      <c r="N109" s="378"/>
      <c r="O109" s="304" t="s">
        <v>89</v>
      </c>
      <c r="Q109" s="210" t="s">
        <v>613</v>
      </c>
      <c r="R109" s="211">
        <f>G102</f>
        <v>0.5</v>
      </c>
    </row>
    <row r="110" spans="1:24" ht="15.75" thickBot="1" x14ac:dyDescent="0.3">
      <c r="C110" s="181" t="s">
        <v>562</v>
      </c>
      <c r="D110" s="182"/>
      <c r="E110" s="402"/>
      <c r="F110" s="695" t="s">
        <v>548</v>
      </c>
      <c r="G110" s="695" t="s">
        <v>549</v>
      </c>
      <c r="H110" s="695" t="s">
        <v>550</v>
      </c>
      <c r="I110" s="695" t="s">
        <v>551</v>
      </c>
      <c r="J110" s="695" t="s">
        <v>552</v>
      </c>
      <c r="K110" s="189" t="s">
        <v>580</v>
      </c>
      <c r="L110" s="201"/>
      <c r="M110" s="201"/>
      <c r="N110" s="202"/>
      <c r="O110" s="304" t="s">
        <v>89</v>
      </c>
    </row>
    <row r="111" spans="1:24" ht="15.75" thickBot="1" x14ac:dyDescent="0.3">
      <c r="A111" s="134" t="s">
        <v>565</v>
      </c>
      <c r="B111" s="135" t="str">
        <f>HYPERLINK(_TS_&amp;"#"&amp;SUBSTITUTE(A111,".","_"),"Open")</f>
        <v>Open</v>
      </c>
      <c r="C111" s="671" t="s">
        <v>566</v>
      </c>
      <c r="D111" s="386">
        <f>SUM('Shared-2013'!D81)</f>
        <v>0</v>
      </c>
      <c r="E111" s="402"/>
      <c r="F111" s="453">
        <f>SUM(H112:H113)</f>
        <v>0</v>
      </c>
      <c r="G111" s="453">
        <f>SUM(H111)-SUM(F111)</f>
        <v>0</v>
      </c>
      <c r="H111" s="448">
        <f>SQRT(SUM(H112)^2+1.5*SUM(H112)*SUM(H113)+SUM(H113)^2)</f>
        <v>0</v>
      </c>
      <c r="I111" s="444">
        <f>SUM(J111)-SUM(H111)</f>
        <v>0</v>
      </c>
      <c r="J111" s="448">
        <f>SQRT(SUM(J112)^2+1.5*SUM(J112)*SUM(J113)+SUM(J113)^2)</f>
        <v>0</v>
      </c>
      <c r="K111" s="766" t="s">
        <v>567</v>
      </c>
      <c r="L111" s="723"/>
      <c r="M111" s="723"/>
      <c r="N111" s="685"/>
      <c r="O111" s="304" t="s">
        <v>89</v>
      </c>
      <c r="P111" s="213" t="s">
        <v>442</v>
      </c>
      <c r="Q111" s="214" t="s">
        <v>442</v>
      </c>
      <c r="R111" s="215" t="s">
        <v>440</v>
      </c>
      <c r="S111" s="215" t="s">
        <v>441</v>
      </c>
    </row>
    <row r="112" spans="1:24" ht="15.75" thickBot="1" x14ac:dyDescent="0.3">
      <c r="C112" s="4"/>
      <c r="D112" s="4"/>
      <c r="E112" s="402"/>
      <c r="F112" s="424"/>
      <c r="G112" s="435"/>
      <c r="H112" s="528" t="s">
        <v>521</v>
      </c>
      <c r="I112" s="443">
        <f>SUM(J112)-SUM(H112)</f>
        <v>0</v>
      </c>
      <c r="J112" s="528" t="s">
        <v>521</v>
      </c>
      <c r="K112" s="774" t="s">
        <v>581</v>
      </c>
      <c r="L112" s="769"/>
      <c r="M112" s="769"/>
      <c r="N112" s="607"/>
      <c r="O112" s="304" t="s">
        <v>89</v>
      </c>
      <c r="P112" s="134" t="s">
        <v>777</v>
      </c>
      <c r="Q112" s="217" t="s">
        <v>440</v>
      </c>
      <c r="R112" s="218">
        <v>1</v>
      </c>
      <c r="S112" s="260">
        <f>R113</f>
        <v>0.75</v>
      </c>
    </row>
    <row r="113" spans="1:24" ht="15.75" thickBot="1" x14ac:dyDescent="0.3">
      <c r="C113" s="4"/>
      <c r="D113" s="4"/>
      <c r="E113" s="402"/>
      <c r="F113" s="427"/>
      <c r="G113" s="436"/>
      <c r="H113" s="519" t="s">
        <v>521</v>
      </c>
      <c r="I113" s="456">
        <f>SUM(J113)-SUM(H113)</f>
        <v>0</v>
      </c>
      <c r="J113" s="519" t="s">
        <v>521</v>
      </c>
      <c r="K113" s="775" t="s">
        <v>582</v>
      </c>
      <c r="L113" s="772"/>
      <c r="M113" s="772"/>
      <c r="N113" s="773"/>
      <c r="O113" s="304" t="s">
        <v>89</v>
      </c>
      <c r="P113" s="135" t="str">
        <f>HYPERLINK(_TS_&amp;"#"&amp;SUBSTITUTE(P112,".","_"),"Open")</f>
        <v>Open</v>
      </c>
      <c r="Q113" s="217" t="s">
        <v>441</v>
      </c>
      <c r="R113" s="227">
        <v>0.75</v>
      </c>
      <c r="S113" s="229">
        <v>1</v>
      </c>
    </row>
    <row r="114" spans="1:24" ht="5.25" customHeight="1" x14ac:dyDescent="0.25">
      <c r="C114" s="4"/>
      <c r="D114" s="4"/>
      <c r="E114" s="402"/>
      <c r="F114" s="4"/>
      <c r="O114" s="304" t="s">
        <v>89</v>
      </c>
    </row>
    <row r="115" spans="1:24" ht="15.75" thickBot="1" x14ac:dyDescent="0.3">
      <c r="C115" s="181" t="s">
        <v>575</v>
      </c>
      <c r="D115" s="182"/>
      <c r="E115" s="402"/>
      <c r="F115" s="695" t="s">
        <v>548</v>
      </c>
      <c r="G115" s="695" t="s">
        <v>549</v>
      </c>
      <c r="H115" s="695" t="s">
        <v>550</v>
      </c>
      <c r="I115" s="695" t="s">
        <v>551</v>
      </c>
      <c r="J115" s="695" t="s">
        <v>552</v>
      </c>
      <c r="K115" s="165" t="s">
        <v>648</v>
      </c>
      <c r="L115" s="166"/>
      <c r="M115" s="166"/>
      <c r="N115" s="167"/>
      <c r="O115" s="304" t="s">
        <v>89</v>
      </c>
    </row>
    <row r="116" spans="1:24" ht="15.75" thickBot="1" x14ac:dyDescent="0.3">
      <c r="A116" s="134" t="s">
        <v>846</v>
      </c>
      <c r="B116" s="135" t="str">
        <f>HYPERLINK(_TS_&amp;"#"&amp;SUBSTITUTE(A116,".","_"),"Open")</f>
        <v>Open</v>
      </c>
      <c r="C116" s="651" t="s">
        <v>566</v>
      </c>
      <c r="D116" s="450">
        <f>MIN(30%*SUM($H$77),MAX(SUM(D117),SUM(D118)))+25%*SUM(D122)</f>
        <v>0</v>
      </c>
      <c r="E116" s="402"/>
      <c r="F116" s="453">
        <f>SUM(H117:H123)</f>
        <v>0</v>
      </c>
      <c r="G116" s="453">
        <f>SUM(H116)-SUM(F116)</f>
        <v>0</v>
      </c>
      <c r="H116" s="448">
        <f>SQRT(SUMPRODUCT(H117:H123,MMULT(CorrLife,H117:H123*1)))</f>
        <v>0</v>
      </c>
      <c r="I116" s="448">
        <f>SUM(H116)-SUM(J116)</f>
        <v>0</v>
      </c>
      <c r="J116" s="448">
        <f>SQRT(SUMPRODUCT(J117:J123,MMULT(CorrLife,J117:J123*1)))</f>
        <v>0</v>
      </c>
      <c r="K116" s="776" t="s">
        <v>567</v>
      </c>
      <c r="L116" s="777"/>
      <c r="M116" s="777"/>
      <c r="N116" s="778"/>
      <c r="O116" s="304" t="s">
        <v>89</v>
      </c>
      <c r="P116" s="213" t="s">
        <v>145</v>
      </c>
      <c r="Q116" s="214"/>
      <c r="R116" s="215" t="s">
        <v>61</v>
      </c>
      <c r="S116" s="215" t="s">
        <v>62</v>
      </c>
      <c r="T116" s="215" t="s">
        <v>146</v>
      </c>
      <c r="U116" s="215" t="s">
        <v>63</v>
      </c>
      <c r="V116" s="215" t="s">
        <v>147</v>
      </c>
      <c r="W116" s="215" t="s">
        <v>65</v>
      </c>
      <c r="X116" s="215" t="s">
        <v>66</v>
      </c>
    </row>
    <row r="117" spans="1:24" ht="15.75" thickBot="1" x14ac:dyDescent="0.3">
      <c r="C117" s="651" t="s">
        <v>202</v>
      </c>
      <c r="D117" s="387">
        <f>SUM('Shared-2013'!D84)</f>
        <v>0</v>
      </c>
      <c r="E117" s="402"/>
      <c r="F117" s="424"/>
      <c r="G117" s="435"/>
      <c r="H117" s="465">
        <f>SUM(J166)</f>
        <v>0</v>
      </c>
      <c r="I117" s="444">
        <f t="shared" ref="I117:I123" si="3">SUM(J117)-SUM(H117)</f>
        <v>0</v>
      </c>
      <c r="J117" s="465">
        <f>SUM(L166)</f>
        <v>0</v>
      </c>
      <c r="K117" s="774" t="s">
        <v>576</v>
      </c>
      <c r="L117" s="769"/>
      <c r="M117" s="769"/>
      <c r="N117" s="607"/>
      <c r="O117" s="304" t="s">
        <v>89</v>
      </c>
      <c r="P117" s="134" t="s">
        <v>612</v>
      </c>
      <c r="Q117" s="217" t="s">
        <v>61</v>
      </c>
      <c r="R117" s="218">
        <v>1</v>
      </c>
      <c r="S117" s="219">
        <f>R118</f>
        <v>-0.25</v>
      </c>
      <c r="T117" s="219">
        <f>R119</f>
        <v>0.25</v>
      </c>
      <c r="U117" s="219">
        <f>R120</f>
        <v>0</v>
      </c>
      <c r="V117" s="220">
        <f>R121</f>
        <v>0.25</v>
      </c>
      <c r="W117" s="220">
        <f>R122</f>
        <v>0</v>
      </c>
      <c r="X117" s="221">
        <f>R123</f>
        <v>0.25</v>
      </c>
    </row>
    <row r="118" spans="1:24" ht="15.75" thickBot="1" x14ac:dyDescent="0.3">
      <c r="C118" s="651" t="s">
        <v>579</v>
      </c>
      <c r="D118" s="450">
        <f>0.45%*MAX(0,SUM(D119)-SUM(D120))+3%*MAX(0,SUM(D121))</f>
        <v>0</v>
      </c>
      <c r="E118" s="402"/>
      <c r="F118" s="424"/>
      <c r="G118" s="435"/>
      <c r="H118" s="465">
        <f>SUM(J167)</f>
        <v>0</v>
      </c>
      <c r="I118" s="444">
        <f t="shared" si="3"/>
        <v>0</v>
      </c>
      <c r="J118" s="465">
        <f>SUM(L167)</f>
        <v>0</v>
      </c>
      <c r="K118" s="754" t="s">
        <v>577</v>
      </c>
      <c r="L118" s="734"/>
      <c r="M118" s="734"/>
      <c r="N118" s="770"/>
      <c r="O118" s="304" t="s">
        <v>89</v>
      </c>
      <c r="P118" s="135" t="str">
        <f>HYPERLINK(_TS_&amp;"#"&amp;SUBSTITUTE(P117,".","_"),"Open")</f>
        <v>Open</v>
      </c>
      <c r="Q118" s="217" t="s">
        <v>62</v>
      </c>
      <c r="R118" s="222">
        <v>-0.25</v>
      </c>
      <c r="S118" s="223">
        <v>1</v>
      </c>
      <c r="T118" s="224">
        <f>S119</f>
        <v>0</v>
      </c>
      <c r="U118" s="224">
        <f>S120</f>
        <v>0.25</v>
      </c>
      <c r="V118" s="224">
        <f>S121</f>
        <v>0.25</v>
      </c>
      <c r="W118" s="224">
        <f>S122</f>
        <v>0.25</v>
      </c>
      <c r="X118" s="225">
        <f>S123</f>
        <v>0</v>
      </c>
    </row>
    <row r="119" spans="1:24" ht="15.75" thickBot="1" x14ac:dyDescent="0.3">
      <c r="C119" s="779" t="s">
        <v>629</v>
      </c>
      <c r="D119" s="514" t="s">
        <v>521</v>
      </c>
      <c r="E119" s="402"/>
      <c r="F119" s="424"/>
      <c r="G119" s="435"/>
      <c r="H119" s="465">
        <f>SUM(J168)</f>
        <v>0</v>
      </c>
      <c r="I119" s="444">
        <f t="shared" si="3"/>
        <v>0</v>
      </c>
      <c r="J119" s="465">
        <f>SUM(L168)</f>
        <v>0</v>
      </c>
      <c r="K119" s="754" t="s">
        <v>578</v>
      </c>
      <c r="L119" s="734"/>
      <c r="M119" s="734"/>
      <c r="N119" s="770"/>
      <c r="O119" s="304" t="s">
        <v>89</v>
      </c>
      <c r="P119" s="401"/>
      <c r="Q119" s="217" t="s">
        <v>146</v>
      </c>
      <c r="R119" s="222">
        <v>0.25</v>
      </c>
      <c r="S119" s="223">
        <v>0</v>
      </c>
      <c r="T119" s="223">
        <v>1</v>
      </c>
      <c r="U119" s="224">
        <f>T120</f>
        <v>0</v>
      </c>
      <c r="V119" s="224">
        <f>T121</f>
        <v>0.5</v>
      </c>
      <c r="W119" s="224">
        <f>T122</f>
        <v>0</v>
      </c>
      <c r="X119" s="225">
        <f>U123</f>
        <v>0.25</v>
      </c>
    </row>
    <row r="120" spans="1:24" ht="15.75" thickBot="1" x14ac:dyDescent="0.3">
      <c r="C120" s="779" t="s">
        <v>630</v>
      </c>
      <c r="D120" s="514" t="s">
        <v>521</v>
      </c>
      <c r="E120" s="402"/>
      <c r="F120" s="424"/>
      <c r="G120" s="435"/>
      <c r="H120" s="465">
        <f>SUM(J169)</f>
        <v>0</v>
      </c>
      <c r="I120" s="444">
        <f t="shared" si="3"/>
        <v>0</v>
      </c>
      <c r="J120" s="465">
        <f>SUM(L169)</f>
        <v>0</v>
      </c>
      <c r="K120" s="754" t="s">
        <v>63</v>
      </c>
      <c r="L120" s="734"/>
      <c r="M120" s="734"/>
      <c r="N120" s="770"/>
      <c r="O120" s="304" t="s">
        <v>89</v>
      </c>
      <c r="P120" s="401"/>
      <c r="Q120" s="217" t="s">
        <v>63</v>
      </c>
      <c r="R120" s="222">
        <v>0</v>
      </c>
      <c r="S120" s="223">
        <v>0.25</v>
      </c>
      <c r="T120" s="223">
        <v>0</v>
      </c>
      <c r="U120" s="223">
        <v>1</v>
      </c>
      <c r="V120" s="224">
        <f>U121</f>
        <v>0.5</v>
      </c>
      <c r="W120" s="224">
        <f>U122</f>
        <v>0</v>
      </c>
      <c r="X120" s="225">
        <f>U123</f>
        <v>0.25</v>
      </c>
    </row>
    <row r="121" spans="1:24" ht="15.75" thickBot="1" x14ac:dyDescent="0.3">
      <c r="C121" s="779" t="s">
        <v>631</v>
      </c>
      <c r="D121" s="519" t="s">
        <v>521</v>
      </c>
      <c r="E121" s="402"/>
      <c r="F121" s="424"/>
      <c r="G121" s="435"/>
      <c r="H121" s="465">
        <f>SUM(J174)</f>
        <v>0</v>
      </c>
      <c r="I121" s="444">
        <f t="shared" si="3"/>
        <v>0</v>
      </c>
      <c r="J121" s="465">
        <f>SUM(L174)</f>
        <v>0</v>
      </c>
      <c r="K121" s="754" t="s">
        <v>147</v>
      </c>
      <c r="L121" s="734"/>
      <c r="M121" s="734"/>
      <c r="N121" s="770"/>
      <c r="O121" s="304" t="s">
        <v>89</v>
      </c>
      <c r="P121" s="401"/>
      <c r="Q121" s="217" t="s">
        <v>147</v>
      </c>
      <c r="R121" s="222">
        <v>0.25</v>
      </c>
      <c r="S121" s="223">
        <v>0.25</v>
      </c>
      <c r="T121" s="223">
        <v>0.5</v>
      </c>
      <c r="U121" s="223">
        <v>0.5</v>
      </c>
      <c r="V121" s="223">
        <v>1</v>
      </c>
      <c r="W121" s="224">
        <f>V122</f>
        <v>0.5</v>
      </c>
      <c r="X121" s="225">
        <f>V123</f>
        <v>0.25</v>
      </c>
    </row>
    <row r="122" spans="1:24" ht="15.75" thickBot="1" x14ac:dyDescent="0.3">
      <c r="C122" s="671" t="s">
        <v>651</v>
      </c>
      <c r="D122" s="388">
        <f>SUM('Shared-2013'!D91)</f>
        <v>0</v>
      </c>
      <c r="E122" s="402"/>
      <c r="F122" s="424"/>
      <c r="G122" s="435"/>
      <c r="H122" s="465">
        <f>SUM(J175)</f>
        <v>0</v>
      </c>
      <c r="I122" s="444">
        <f t="shared" si="3"/>
        <v>0</v>
      </c>
      <c r="J122" s="465">
        <f>SUM(L175)</f>
        <v>0</v>
      </c>
      <c r="K122" s="754" t="s">
        <v>65</v>
      </c>
      <c r="L122" s="734"/>
      <c r="M122" s="734"/>
      <c r="N122" s="770"/>
      <c r="O122" s="304" t="s">
        <v>89</v>
      </c>
      <c r="P122" s="401"/>
      <c r="Q122" s="217" t="s">
        <v>65</v>
      </c>
      <c r="R122" s="222">
        <v>0</v>
      </c>
      <c r="S122" s="223">
        <v>0.25</v>
      </c>
      <c r="T122" s="223">
        <v>0</v>
      </c>
      <c r="U122" s="223">
        <v>0</v>
      </c>
      <c r="V122" s="223">
        <v>0.5</v>
      </c>
      <c r="W122" s="223">
        <v>1</v>
      </c>
      <c r="X122" s="226">
        <f>W123</f>
        <v>0</v>
      </c>
    </row>
    <row r="123" spans="1:24" ht="15.75" thickBot="1" x14ac:dyDescent="0.3">
      <c r="C123" s="4"/>
      <c r="D123" s="4"/>
      <c r="E123" s="402"/>
      <c r="F123" s="427"/>
      <c r="G123" s="436"/>
      <c r="H123" s="473">
        <f>SUM(J176)</f>
        <v>0</v>
      </c>
      <c r="I123" s="456">
        <f t="shared" si="3"/>
        <v>0</v>
      </c>
      <c r="J123" s="473">
        <f>SUM(L176)</f>
        <v>0</v>
      </c>
      <c r="K123" s="775" t="s">
        <v>66</v>
      </c>
      <c r="L123" s="772"/>
      <c r="M123" s="772"/>
      <c r="N123" s="773"/>
      <c r="O123" s="304" t="s">
        <v>89</v>
      </c>
      <c r="P123" s="401"/>
      <c r="Q123" s="217" t="s">
        <v>66</v>
      </c>
      <c r="R123" s="227">
        <v>0.25</v>
      </c>
      <c r="S123" s="228">
        <v>0</v>
      </c>
      <c r="T123" s="228">
        <v>0.25</v>
      </c>
      <c r="U123" s="228">
        <v>0.25</v>
      </c>
      <c r="V123" s="228">
        <v>0.25</v>
      </c>
      <c r="W123" s="228">
        <v>0</v>
      </c>
      <c r="X123" s="229">
        <v>1</v>
      </c>
    </row>
    <row r="124" spans="1:24" ht="6" customHeight="1" x14ac:dyDescent="0.25">
      <c r="C124" s="4"/>
      <c r="D124" s="4"/>
      <c r="E124" s="402"/>
      <c r="F124" s="4"/>
      <c r="O124" s="304" t="s">
        <v>89</v>
      </c>
    </row>
    <row r="125" spans="1:24" ht="15.75" thickBot="1" x14ac:dyDescent="0.3">
      <c r="C125" s="181" t="s">
        <v>650</v>
      </c>
      <c r="D125" s="212"/>
      <c r="E125" s="402"/>
      <c r="F125" s="695" t="s">
        <v>548</v>
      </c>
      <c r="G125" s="695" t="s">
        <v>549</v>
      </c>
      <c r="H125" s="695" t="s">
        <v>550</v>
      </c>
      <c r="I125" s="695" t="s">
        <v>551</v>
      </c>
      <c r="J125" s="695" t="s">
        <v>552</v>
      </c>
      <c r="K125" s="165" t="s">
        <v>649</v>
      </c>
      <c r="L125" s="166"/>
      <c r="M125" s="166"/>
      <c r="N125" s="167"/>
      <c r="O125" s="304" t="s">
        <v>89</v>
      </c>
    </row>
    <row r="126" spans="1:24" ht="15.75" thickBot="1" x14ac:dyDescent="0.3">
      <c r="C126" s="651" t="s">
        <v>566</v>
      </c>
      <c r="D126" s="450">
        <f>SQRT(SUMPRODUCT(D127:D129,MMULT($R$132:$T$134,D127:D129*1)))</f>
        <v>0</v>
      </c>
      <c r="E126" s="402"/>
      <c r="F126" s="453"/>
      <c r="G126" s="453">
        <f>SUM(H126)-SUM(F126)</f>
        <v>0</v>
      </c>
      <c r="H126" s="448">
        <f>SQRT(SUMPRODUCT(H127:H129,MMULT(CorrHealth,H127:H129*1)))</f>
        <v>0</v>
      </c>
      <c r="I126" s="448">
        <f>SUM(H126)-SUM(J126)</f>
        <v>0</v>
      </c>
      <c r="J126" s="448">
        <f>SQRT(SUMPRODUCT(J127:J129,MMULT(CorrHealth,J127:J129*1)))</f>
        <v>0</v>
      </c>
      <c r="K126" s="776" t="s">
        <v>567</v>
      </c>
      <c r="L126" s="777"/>
      <c r="M126" s="777"/>
      <c r="N126" s="778"/>
      <c r="O126" s="304" t="s">
        <v>89</v>
      </c>
      <c r="P126" s="213" t="s">
        <v>151</v>
      </c>
      <c r="Q126" s="214"/>
      <c r="R126" s="215" t="s">
        <v>152</v>
      </c>
      <c r="S126" s="215" t="s">
        <v>153</v>
      </c>
      <c r="T126" s="215" t="s">
        <v>154</v>
      </c>
    </row>
    <row r="127" spans="1:24" ht="15.75" thickBot="1" x14ac:dyDescent="0.3">
      <c r="C127" s="780" t="s">
        <v>615</v>
      </c>
      <c r="D127" s="444">
        <f>SUM(D234)</f>
        <v>0</v>
      </c>
      <c r="E127" s="402"/>
      <c r="F127" s="424"/>
      <c r="G127" s="435"/>
      <c r="H127" s="465">
        <f>SUM(D182)</f>
        <v>0</v>
      </c>
      <c r="I127" s="444">
        <f>SUM(J127)-SUM(H127)</f>
        <v>0</v>
      </c>
      <c r="J127" s="465">
        <f>H127</f>
        <v>0</v>
      </c>
      <c r="K127" s="774" t="s">
        <v>618</v>
      </c>
      <c r="L127" s="734"/>
      <c r="M127" s="734"/>
      <c r="N127" s="770"/>
      <c r="O127" s="304" t="s">
        <v>89</v>
      </c>
      <c r="P127" s="134" t="s">
        <v>612</v>
      </c>
      <c r="Q127" s="217" t="s">
        <v>152</v>
      </c>
      <c r="R127" s="218">
        <v>1</v>
      </c>
      <c r="S127" s="219">
        <f>R128</f>
        <v>0.5</v>
      </c>
      <c r="T127" s="260">
        <f>R129</f>
        <v>0.25</v>
      </c>
    </row>
    <row r="128" spans="1:24" ht="15.75" thickBot="1" x14ac:dyDescent="0.3">
      <c r="C128" s="780" t="s">
        <v>1000</v>
      </c>
      <c r="D128" s="444">
        <f>SUM(D255)</f>
        <v>0</v>
      </c>
      <c r="E128" s="402"/>
      <c r="F128" s="424"/>
      <c r="G128" s="435"/>
      <c r="H128" s="465">
        <f>SUM(H182)</f>
        <v>0</v>
      </c>
      <c r="I128" s="444">
        <f>SUM(J128)-SUM(H128)</f>
        <v>0</v>
      </c>
      <c r="J128" s="465">
        <f>SUM(J182)</f>
        <v>0</v>
      </c>
      <c r="K128" s="754" t="s">
        <v>152</v>
      </c>
      <c r="L128" s="734"/>
      <c r="M128" s="734"/>
      <c r="N128" s="770"/>
      <c r="O128" s="304" t="s">
        <v>89</v>
      </c>
      <c r="P128" s="135" t="str">
        <f>HYPERLINK(_TS_&amp;"#"&amp;SUBSTITUTE(P127,".","_"),"Open")</f>
        <v>Open</v>
      </c>
      <c r="Q128" s="217" t="s">
        <v>153</v>
      </c>
      <c r="R128" s="222">
        <v>0.5</v>
      </c>
      <c r="S128" s="223">
        <v>1</v>
      </c>
      <c r="T128" s="225">
        <f>S129</f>
        <v>0.25</v>
      </c>
    </row>
    <row r="129" spans="1:20" ht="15.75" thickBot="1" x14ac:dyDescent="0.3">
      <c r="C129" s="781" t="s">
        <v>66</v>
      </c>
      <c r="D129" s="389">
        <f>SUM('Shared-2013'!D94)</f>
        <v>0</v>
      </c>
      <c r="E129" s="402"/>
      <c r="F129" s="427"/>
      <c r="G129" s="436"/>
      <c r="H129" s="473">
        <f>SUM(H191)</f>
        <v>0</v>
      </c>
      <c r="I129" s="456">
        <f>SUM(J129)-SUM(H129)</f>
        <v>0</v>
      </c>
      <c r="J129" s="473">
        <f>SUM(J191)</f>
        <v>0</v>
      </c>
      <c r="K129" s="775" t="s">
        <v>154</v>
      </c>
      <c r="L129" s="772"/>
      <c r="M129" s="772"/>
      <c r="N129" s="773"/>
      <c r="O129" s="304" t="s">
        <v>89</v>
      </c>
      <c r="Q129" s="217" t="s">
        <v>154</v>
      </c>
      <c r="R129" s="227">
        <v>0.25</v>
      </c>
      <c r="S129" s="228">
        <v>0.25</v>
      </c>
      <c r="T129" s="229">
        <v>1</v>
      </c>
    </row>
    <row r="130" spans="1:20" ht="7.5" customHeight="1" thickBot="1" x14ac:dyDescent="0.3">
      <c r="C130" s="4"/>
      <c r="D130" s="4"/>
      <c r="E130" s="4"/>
      <c r="F130" s="4"/>
      <c r="O130" s="304" t="s">
        <v>89</v>
      </c>
    </row>
    <row r="131" spans="1:20" ht="15.75" thickBot="1" x14ac:dyDescent="0.3">
      <c r="C131" s="1043" t="s">
        <v>1044</v>
      </c>
      <c r="D131" s="1111" t="str">
        <f>$D$63</f>
        <v>VB és TM</v>
      </c>
      <c r="E131" s="402"/>
      <c r="F131" s="402"/>
      <c r="G131" s="402"/>
      <c r="H131" s="402"/>
      <c r="I131" s="402"/>
      <c r="J131" s="402"/>
      <c r="K131" s="402"/>
      <c r="L131" s="402"/>
      <c r="M131" s="402"/>
      <c r="N131" s="402"/>
      <c r="O131" s="304" t="s">
        <v>89</v>
      </c>
      <c r="P131" s="213" t="s">
        <v>160</v>
      </c>
      <c r="Q131" s="214"/>
      <c r="R131" s="215" t="s">
        <v>161</v>
      </c>
      <c r="S131" s="215" t="s">
        <v>162</v>
      </c>
      <c r="T131" s="215" t="s">
        <v>163</v>
      </c>
    </row>
    <row r="132" spans="1:20" ht="15.75" thickBot="1" x14ac:dyDescent="0.3">
      <c r="C132" s="1045"/>
      <c r="D132" s="1112"/>
      <c r="E132" s="402"/>
      <c r="F132" s="402"/>
      <c r="G132" s="402"/>
      <c r="J132" s="402"/>
      <c r="K132" s="402"/>
      <c r="L132" s="281" t="s">
        <v>767</v>
      </c>
      <c r="N132" s="402"/>
      <c r="O132" s="304" t="s">
        <v>89</v>
      </c>
      <c r="P132" s="134" t="s">
        <v>840</v>
      </c>
      <c r="Q132" s="217" t="s">
        <v>161</v>
      </c>
      <c r="R132" s="218">
        <v>1</v>
      </c>
      <c r="S132" s="219">
        <f>R133</f>
        <v>0</v>
      </c>
      <c r="T132" s="260">
        <f>R134</f>
        <v>0.25</v>
      </c>
    </row>
    <row r="133" spans="1:20" ht="15.75" thickBot="1" x14ac:dyDescent="0.3">
      <c r="C133" s="203"/>
      <c r="D133" s="204"/>
      <c r="E133" s="402"/>
      <c r="H133" s="283" t="s">
        <v>768</v>
      </c>
      <c r="I133" s="284" t="str">
        <f>HYPERLINK(_TS_&amp;"#"&amp;SUBSTITUTE(H133,".","_"),"Open")</f>
        <v>Open</v>
      </c>
      <c r="J133" s="402"/>
      <c r="K133" s="402"/>
      <c r="L133" s="282" t="str">
        <f>HYPERLINK(_TS_&amp;"#"&amp;SUBSTITUTE(L132,".","_"),"Open")</f>
        <v>Open</v>
      </c>
      <c r="M133" s="402"/>
      <c r="N133" s="402"/>
      <c r="O133" s="304" t="s">
        <v>89</v>
      </c>
      <c r="P133" s="135" t="str">
        <f>HYPERLINK(_TS_&amp;"#"&amp;SUBSTITUTE(P132,".","_"),"Open")</f>
        <v>Open</v>
      </c>
      <c r="Q133" s="217" t="s">
        <v>162</v>
      </c>
      <c r="R133" s="222">
        <v>0</v>
      </c>
      <c r="S133" s="223">
        <v>1</v>
      </c>
      <c r="T133" s="225">
        <f>S134</f>
        <v>0</v>
      </c>
    </row>
    <row r="134" spans="1:20" ht="15.75" thickBot="1" x14ac:dyDescent="0.3">
      <c r="C134" s="1149" t="s">
        <v>736</v>
      </c>
      <c r="D134" s="1150"/>
      <c r="E134" s="157" t="s">
        <v>89</v>
      </c>
      <c r="F134" s="782" t="s">
        <v>735</v>
      </c>
      <c r="G134" s="691"/>
      <c r="H134" s="1151" t="s">
        <v>584</v>
      </c>
      <c r="I134" s="1152"/>
      <c r="J134" s="783"/>
      <c r="K134" s="784" t="s">
        <v>585</v>
      </c>
      <c r="L134" s="785"/>
      <c r="M134" s="1151" t="s">
        <v>586</v>
      </c>
      <c r="N134" s="1153"/>
      <c r="O134" s="304" t="s">
        <v>89</v>
      </c>
      <c r="Q134" s="217" t="s">
        <v>163</v>
      </c>
      <c r="R134" s="227">
        <v>0.25</v>
      </c>
      <c r="S134" s="228">
        <v>0</v>
      </c>
      <c r="T134" s="229">
        <v>1</v>
      </c>
    </row>
    <row r="135" spans="1:20" x14ac:dyDescent="0.25">
      <c r="C135" s="1154" t="s">
        <v>587</v>
      </c>
      <c r="D135" s="1155"/>
      <c r="E135" s="155" t="s">
        <v>89</v>
      </c>
      <c r="F135" s="695" t="s">
        <v>0</v>
      </c>
      <c r="G135" s="695" t="s">
        <v>20</v>
      </c>
      <c r="H135" s="695" t="s">
        <v>0</v>
      </c>
      <c r="I135" s="695" t="s">
        <v>20</v>
      </c>
      <c r="J135" s="695" t="s">
        <v>550</v>
      </c>
      <c r="K135" s="695" t="s">
        <v>551</v>
      </c>
      <c r="L135" s="695" t="s">
        <v>552</v>
      </c>
      <c r="M135" s="695" t="s">
        <v>0</v>
      </c>
      <c r="N135" s="695" t="s">
        <v>20</v>
      </c>
      <c r="O135" s="304" t="s">
        <v>89</v>
      </c>
    </row>
    <row r="136" spans="1:20" x14ac:dyDescent="0.25">
      <c r="C136" s="1156" t="s">
        <v>588</v>
      </c>
      <c r="D136" s="1157"/>
      <c r="E136" s="155" t="s">
        <v>89</v>
      </c>
      <c r="F136" s="437"/>
      <c r="G136" s="432"/>
      <c r="H136" s="437"/>
      <c r="I136" s="432"/>
      <c r="J136" s="973">
        <f>IF($J137="Up",J138,J139)</f>
        <v>0</v>
      </c>
      <c r="K136" s="448">
        <f>SUM(L136)-SUM(J136)</f>
        <v>0</v>
      </c>
      <c r="L136" s="451">
        <f>IF($J137="Up",L138,L139)</f>
        <v>0</v>
      </c>
      <c r="M136" s="437"/>
      <c r="N136" s="432"/>
      <c r="O136" s="304" t="s">
        <v>89</v>
      </c>
    </row>
    <row r="137" spans="1:20" x14ac:dyDescent="0.25">
      <c r="A137" s="134" t="s">
        <v>832</v>
      </c>
      <c r="B137" s="135" t="str">
        <f t="shared" ref="B137:B143" si="4">HYPERLINK(_TS_&amp;"#"&amp;SUBSTITUTE(A137,".","_"),"Open")</f>
        <v>Open</v>
      </c>
      <c r="C137" s="1158" t="s">
        <v>833</v>
      </c>
      <c r="D137" s="1159"/>
      <c r="E137" s="155" t="s">
        <v>89</v>
      </c>
      <c r="F137" s="435"/>
      <c r="G137" s="425"/>
      <c r="H137" s="435"/>
      <c r="I137" s="425"/>
      <c r="J137" s="1160" t="str">
        <f>IF(SUM(L138)&gt;SUM(L139),"Up","Down")</f>
        <v>Down</v>
      </c>
      <c r="K137" s="1161"/>
      <c r="L137" s="1162"/>
      <c r="M137" s="435"/>
      <c r="N137" s="425"/>
      <c r="O137" s="304" t="s">
        <v>89</v>
      </c>
    </row>
    <row r="138" spans="1:20" x14ac:dyDescent="0.25">
      <c r="A138" s="134" t="s">
        <v>766</v>
      </c>
      <c r="B138" s="135" t="str">
        <f t="shared" si="4"/>
        <v>Open</v>
      </c>
      <c r="C138" s="1163" t="s">
        <v>1122</v>
      </c>
      <c r="D138" s="1164"/>
      <c r="E138" s="155" t="s">
        <v>89</v>
      </c>
      <c r="F138" s="567" t="s">
        <v>521</v>
      </c>
      <c r="G138" s="568" t="s">
        <v>521</v>
      </c>
      <c r="H138" s="567" t="s">
        <v>521</v>
      </c>
      <c r="I138" s="568" t="s">
        <v>521</v>
      </c>
      <c r="J138" s="465">
        <f>IF(AND(F138&lt;&gt;"-",G138&lt;&gt;"-",H138&lt;&gt;"-",I138&lt;&gt;"-"),MAX((SUM(F138)-SUM(G138))-(SUM(H138)-SUM(I138)),0),0)</f>
        <v>0</v>
      </c>
      <c r="K138" s="444">
        <f t="shared" ref="K138:K158" si="5">SUM(L138)-SUM(J138)</f>
        <v>0</v>
      </c>
      <c r="L138" s="444">
        <f>IF(AND(F138&lt;&gt;"-",G138&lt;&gt;"-",M138&lt;&gt;"-",N138&lt;&gt;"-"),MAX((SUM(F138)-SUM(G138))-(SUM(M138)-SUM(N138)),0),0)</f>
        <v>0</v>
      </c>
      <c r="M138" s="567" t="s">
        <v>521</v>
      </c>
      <c r="N138" s="568" t="s">
        <v>521</v>
      </c>
      <c r="O138" s="304" t="s">
        <v>89</v>
      </c>
    </row>
    <row r="139" spans="1:20" x14ac:dyDescent="0.25">
      <c r="A139" s="134" t="s">
        <v>766</v>
      </c>
      <c r="B139" s="135" t="str">
        <f t="shared" si="4"/>
        <v>Open</v>
      </c>
      <c r="C139" s="1165" t="s">
        <v>1123</v>
      </c>
      <c r="D139" s="1166"/>
      <c r="E139" s="155" t="s">
        <v>89</v>
      </c>
      <c r="F139" s="567" t="s">
        <v>521</v>
      </c>
      <c r="G139" s="568" t="s">
        <v>521</v>
      </c>
      <c r="H139" s="567" t="s">
        <v>521</v>
      </c>
      <c r="I139" s="568" t="s">
        <v>521</v>
      </c>
      <c r="J139" s="465">
        <f>IF(AND(F139&lt;&gt;"-",G139&lt;&gt;"-",H139&lt;&gt;"-",I139&lt;&gt;"-"),MAX((SUM(F139)-SUM(G139))-(SUM(H139)-SUM(I139)),0),0)</f>
        <v>0</v>
      </c>
      <c r="K139" s="444">
        <f t="shared" si="5"/>
        <v>0</v>
      </c>
      <c r="L139" s="444">
        <f>IF(AND(F139&lt;&gt;"-",G139&lt;&gt;"-",M139&lt;&gt;"-",N139&lt;&gt;"-"),MAX((SUM(F139)-SUM(G139))-(SUM(M139)-SUM(N139)),0),0)</f>
        <v>0</v>
      </c>
      <c r="M139" s="567" t="s">
        <v>521</v>
      </c>
      <c r="N139" s="568" t="s">
        <v>521</v>
      </c>
      <c r="O139" s="304" t="s">
        <v>89</v>
      </c>
    </row>
    <row r="140" spans="1:20" ht="15.75" thickBot="1" x14ac:dyDescent="0.3">
      <c r="A140" s="134"/>
      <c r="B140" s="135"/>
      <c r="C140" s="1156" t="s">
        <v>589</v>
      </c>
      <c r="D140" s="1157"/>
      <c r="E140" s="155" t="s">
        <v>89</v>
      </c>
      <c r="F140" s="437"/>
      <c r="G140" s="432"/>
      <c r="H140" s="437"/>
      <c r="I140" s="432"/>
      <c r="J140" s="475">
        <f>SUM(J141,J144)</f>
        <v>0</v>
      </c>
      <c r="K140" s="448">
        <f t="shared" si="5"/>
        <v>0</v>
      </c>
      <c r="L140" s="448">
        <f>SUM(L141,L144)</f>
        <v>0</v>
      </c>
      <c r="M140" s="437"/>
      <c r="N140" s="432"/>
      <c r="O140" s="304" t="s">
        <v>89</v>
      </c>
    </row>
    <row r="141" spans="1:20" ht="15.75" thickBot="1" x14ac:dyDescent="0.3">
      <c r="A141" s="134" t="s">
        <v>772</v>
      </c>
      <c r="B141" s="135" t="str">
        <f t="shared" si="4"/>
        <v>Open</v>
      </c>
      <c r="C141" s="1167" t="s">
        <v>834</v>
      </c>
      <c r="D141" s="1168"/>
      <c r="E141" s="155" t="s">
        <v>89</v>
      </c>
      <c r="F141" s="431"/>
      <c r="G141" s="432"/>
      <c r="H141" s="437"/>
      <c r="I141" s="432"/>
      <c r="J141" s="474">
        <f>SQRT(SUMPRODUCT(J142:J143,MMULT($R$142:$S$143,J142:J143*1)))</f>
        <v>0</v>
      </c>
      <c r="K141" s="448">
        <f t="shared" si="5"/>
        <v>0</v>
      </c>
      <c r="L141" s="474">
        <f>SQRT(SUMPRODUCT(L142:L143,MMULT($R$142:$S$143,L142:L143*1)))</f>
        <v>0</v>
      </c>
      <c r="M141" s="431"/>
      <c r="N141" s="432"/>
      <c r="O141" s="304" t="s">
        <v>89</v>
      </c>
      <c r="P141" s="213" t="s">
        <v>774</v>
      </c>
      <c r="Q141" s="214"/>
      <c r="R141" s="215" t="s">
        <v>440</v>
      </c>
      <c r="S141" s="215" t="s">
        <v>441</v>
      </c>
    </row>
    <row r="142" spans="1:20" ht="15.75" thickBot="1" x14ac:dyDescent="0.3">
      <c r="A142" s="134" t="s">
        <v>771</v>
      </c>
      <c r="B142" s="135" t="str">
        <f t="shared" si="4"/>
        <v>Open</v>
      </c>
      <c r="C142" s="1169" t="s">
        <v>619</v>
      </c>
      <c r="D142" s="1170"/>
      <c r="E142" s="155" t="s">
        <v>89</v>
      </c>
      <c r="F142" s="566" t="s">
        <v>521</v>
      </c>
      <c r="G142" s="568" t="s">
        <v>521</v>
      </c>
      <c r="H142" s="567" t="s">
        <v>521</v>
      </c>
      <c r="I142" s="568" t="s">
        <v>521</v>
      </c>
      <c r="J142" s="465">
        <f>IF(AND(F142&lt;&gt;"-",G142&lt;&gt;"-",H142&lt;&gt;"-",I142&lt;&gt;"-"),MAX((SUM(F142)-SUM(G142))-(SUM(H142)-SUM(I142)),0),0)</f>
        <v>0</v>
      </c>
      <c r="K142" s="444">
        <f t="shared" si="5"/>
        <v>0</v>
      </c>
      <c r="L142" s="447">
        <f>IF(AND(F142&lt;&gt;"-",G142&lt;&gt;"-",M142&lt;&gt;"-",N142&lt;&gt;"-"),MAX((SUM(F142)-SUM(G142))-(SUM(M142)-SUM(N142)),0),0)</f>
        <v>0</v>
      </c>
      <c r="M142" s="566" t="s">
        <v>521</v>
      </c>
      <c r="N142" s="568" t="s">
        <v>521</v>
      </c>
      <c r="O142" s="304" t="s">
        <v>89</v>
      </c>
      <c r="P142" s="134" t="s">
        <v>765</v>
      </c>
      <c r="Q142" s="217" t="s">
        <v>440</v>
      </c>
      <c r="R142" s="218">
        <v>1</v>
      </c>
      <c r="S142" s="260">
        <f>R143</f>
        <v>0.75</v>
      </c>
    </row>
    <row r="143" spans="1:20" ht="15.75" thickBot="1" x14ac:dyDescent="0.3">
      <c r="A143" s="134" t="s">
        <v>771</v>
      </c>
      <c r="B143" s="135" t="str">
        <f t="shared" si="4"/>
        <v>Open</v>
      </c>
      <c r="C143" s="1171" t="s">
        <v>620</v>
      </c>
      <c r="D143" s="1172"/>
      <c r="E143" s="155" t="s">
        <v>89</v>
      </c>
      <c r="F143" s="569" t="s">
        <v>521</v>
      </c>
      <c r="G143" s="571" t="s">
        <v>521</v>
      </c>
      <c r="H143" s="570" t="s">
        <v>521</v>
      </c>
      <c r="I143" s="571" t="s">
        <v>521</v>
      </c>
      <c r="J143" s="465">
        <f>IF(AND(F143&lt;&gt;"-",G143&lt;&gt;"-",H143&lt;&gt;"-",I143&lt;&gt;"-"),MAX((SUM(F143)-SUM(G143))-(SUM(H143)-SUM(I143)),0),0)</f>
        <v>0</v>
      </c>
      <c r="K143" s="444">
        <f t="shared" si="5"/>
        <v>0</v>
      </c>
      <c r="L143" s="447">
        <f>IF(AND(F143&lt;&gt;"-",G143&lt;&gt;"-",M143&lt;&gt;"-",N143&lt;&gt;"-"),MAX((SUM(F143)-SUM(G143))-(SUM(M143)-SUM(N143)),0),0)</f>
        <v>0</v>
      </c>
      <c r="M143" s="569" t="s">
        <v>521</v>
      </c>
      <c r="N143" s="571" t="s">
        <v>521</v>
      </c>
      <c r="O143" s="304" t="s">
        <v>89</v>
      </c>
      <c r="P143" s="135" t="str">
        <f>HYPERLINK(_TS_&amp;"#"&amp;SUBSTITUTE(P142,".","_"),"Open")</f>
        <v>Open</v>
      </c>
      <c r="Q143" s="217" t="s">
        <v>441</v>
      </c>
      <c r="R143" s="227">
        <v>0.75</v>
      </c>
      <c r="S143" s="229">
        <v>1</v>
      </c>
    </row>
    <row r="144" spans="1:20" x14ac:dyDescent="0.25">
      <c r="A144" s="290"/>
      <c r="B144" s="135"/>
      <c r="C144" s="1167" t="s">
        <v>835</v>
      </c>
      <c r="D144" s="1168"/>
      <c r="E144" s="155" t="s">
        <v>89</v>
      </c>
      <c r="F144" s="431"/>
      <c r="G144" s="432"/>
      <c r="H144" s="437"/>
      <c r="I144" s="432"/>
      <c r="J144" s="474">
        <f>SQRT(SUMPRODUCT(J145:J146,MMULT($R$142:$S$143,J145:J146*1)))</f>
        <v>0</v>
      </c>
      <c r="K144" s="448">
        <f>SUM(L144)-SUM(J144)</f>
        <v>0</v>
      </c>
      <c r="L144" s="474">
        <f>SQRT(SUMPRODUCT(L145:L146,MMULT($R$142:$S$143,L145:L146*1)))</f>
        <v>0</v>
      </c>
      <c r="M144" s="431"/>
      <c r="N144" s="432"/>
      <c r="O144" s="304" t="s">
        <v>89</v>
      </c>
      <c r="P144" s="291"/>
      <c r="Q144" s="291"/>
      <c r="R144" s="291"/>
      <c r="S144" s="291"/>
    </row>
    <row r="145" spans="1:19" x14ac:dyDescent="0.25">
      <c r="A145" s="290"/>
      <c r="B145" s="135"/>
      <c r="C145" s="1169" t="s">
        <v>619</v>
      </c>
      <c r="D145" s="1170"/>
      <c r="E145" s="155" t="s">
        <v>89</v>
      </c>
      <c r="F145" s="566" t="s">
        <v>521</v>
      </c>
      <c r="G145" s="568" t="s">
        <v>521</v>
      </c>
      <c r="H145" s="567" t="s">
        <v>521</v>
      </c>
      <c r="I145" s="568" t="s">
        <v>521</v>
      </c>
      <c r="J145" s="465">
        <f>IF(AND(F145&lt;&gt;"-",G145&lt;&gt;"-",H145&lt;&gt;"-",I145&lt;&gt;"-"),MAX((SUM(F145)-SUM(G145))-(SUM(H145)-SUM(I145)),0),0)</f>
        <v>0</v>
      </c>
      <c r="K145" s="444">
        <f>SUM(L145)-SUM(J145)</f>
        <v>0</v>
      </c>
      <c r="L145" s="447">
        <f>IF(AND(F145&lt;&gt;"-",G145&lt;&gt;"-",M145&lt;&gt;"-",N145&lt;&gt;"-"),MAX((SUM(F145)-SUM(G145))-(SUM(M145)-SUM(N145)),0),0)</f>
        <v>0</v>
      </c>
      <c r="M145" s="566" t="s">
        <v>521</v>
      </c>
      <c r="N145" s="568" t="s">
        <v>521</v>
      </c>
      <c r="O145" s="304" t="s">
        <v>89</v>
      </c>
      <c r="P145" s="291"/>
      <c r="Q145" s="291"/>
      <c r="R145" s="291"/>
      <c r="S145" s="291"/>
    </row>
    <row r="146" spans="1:19" x14ac:dyDescent="0.25">
      <c r="A146" s="290"/>
      <c r="B146" s="135"/>
      <c r="C146" s="1171" t="s">
        <v>620</v>
      </c>
      <c r="D146" s="1172"/>
      <c r="E146" s="155" t="s">
        <v>89</v>
      </c>
      <c r="F146" s="569" t="s">
        <v>521</v>
      </c>
      <c r="G146" s="571" t="s">
        <v>521</v>
      </c>
      <c r="H146" s="570" t="s">
        <v>521</v>
      </c>
      <c r="I146" s="571" t="s">
        <v>521</v>
      </c>
      <c r="J146" s="465">
        <f>IF(AND(F146&lt;&gt;"-",G146&lt;&gt;"-",H146&lt;&gt;"-",I146&lt;&gt;"-"),MAX((SUM(F146)-SUM(G146))-(SUM(H146)-SUM(I146)),0),0)</f>
        <v>0</v>
      </c>
      <c r="K146" s="444">
        <f>SUM(L146)-SUM(J146)</f>
        <v>0</v>
      </c>
      <c r="L146" s="447">
        <f>IF(AND(F146&lt;&gt;"-",G146&lt;&gt;"-",M146&lt;&gt;"-",N146&lt;&gt;"-"),MAX((SUM(F146)-SUM(G146))-(SUM(M146)-SUM(N146)),0),0)</f>
        <v>0</v>
      </c>
      <c r="M146" s="569" t="s">
        <v>521</v>
      </c>
      <c r="N146" s="571" t="s">
        <v>521</v>
      </c>
      <c r="O146" s="304" t="s">
        <v>89</v>
      </c>
      <c r="P146" s="291"/>
      <c r="Q146" s="291"/>
      <c r="R146" s="291"/>
      <c r="S146" s="291"/>
    </row>
    <row r="147" spans="1:19" x14ac:dyDescent="0.25">
      <c r="C147" s="1173" t="s">
        <v>590</v>
      </c>
      <c r="D147" s="1152"/>
      <c r="E147" s="155" t="s">
        <v>89</v>
      </c>
      <c r="F147" s="934" t="s">
        <v>521</v>
      </c>
      <c r="G147" s="935" t="s">
        <v>521</v>
      </c>
      <c r="H147" s="934" t="s">
        <v>521</v>
      </c>
      <c r="I147" s="935" t="s">
        <v>521</v>
      </c>
      <c r="J147" s="474">
        <f>IF(AND(F147&lt;&gt;"-",G147&lt;&gt;"-",H147&lt;&gt;"-",I147&lt;&gt;"-"),MAX((SUM(F147)-SUM(G147))-(SUM(H147)-SUM(I147)),0),0)</f>
        <v>0</v>
      </c>
      <c r="K147" s="448">
        <f t="shared" si="5"/>
        <v>0</v>
      </c>
      <c r="L147" s="476">
        <f>IF(AND(F147&lt;&gt;"-",G147&lt;&gt;"-",M147&lt;&gt;"-",N147&lt;&gt;"-"),MAX((SUM(F147)-SUM(G147))-(SUM(M147)-SUM(N147)),0),0)</f>
        <v>0</v>
      </c>
      <c r="M147" s="934" t="s">
        <v>521</v>
      </c>
      <c r="N147" s="935" t="s">
        <v>521</v>
      </c>
      <c r="O147" s="304" t="s">
        <v>89</v>
      </c>
    </row>
    <row r="148" spans="1:19" x14ac:dyDescent="0.25">
      <c r="C148" s="1156" t="s">
        <v>591</v>
      </c>
      <c r="D148" s="1157"/>
      <c r="E148" s="155" t="s">
        <v>89</v>
      </c>
      <c r="F148" s="437"/>
      <c r="G148" s="432"/>
      <c r="H148" s="437"/>
      <c r="I148" s="432"/>
      <c r="J148" s="477">
        <f>SUM(J149,J150,J151)</f>
        <v>0</v>
      </c>
      <c r="K148" s="443">
        <f t="shared" si="5"/>
        <v>0</v>
      </c>
      <c r="L148" s="450">
        <f>SUM(L149,L150,L151)</f>
        <v>0</v>
      </c>
      <c r="M148" s="437"/>
      <c r="N148" s="432"/>
      <c r="O148" s="304" t="s">
        <v>89</v>
      </c>
    </row>
    <row r="149" spans="1:19" x14ac:dyDescent="0.25">
      <c r="C149" s="1163" t="s">
        <v>592</v>
      </c>
      <c r="D149" s="1164"/>
      <c r="E149" s="155" t="s">
        <v>89</v>
      </c>
      <c r="F149" s="567" t="s">
        <v>521</v>
      </c>
      <c r="G149" s="568" t="s">
        <v>521</v>
      </c>
      <c r="H149" s="567" t="s">
        <v>521</v>
      </c>
      <c r="I149" s="568" t="s">
        <v>521</v>
      </c>
      <c r="J149" s="478">
        <f>IF(AND(F149&lt;&gt;"-",G149&lt;&gt;"-",H149&lt;&gt;"-",I149&lt;&gt;"-"),MAX((SUM(F149)-SUM(G149))-(SUM(H149)-SUM(I149)),0),0)</f>
        <v>0</v>
      </c>
      <c r="K149" s="443">
        <f t="shared" si="5"/>
        <v>0</v>
      </c>
      <c r="L149" s="446">
        <f>IF(AND(F149&lt;&gt;"-",G149&lt;&gt;"-",M149&lt;&gt;"-",N149&lt;&gt;"-"),MAX((SUM(F149)-SUM(G149))-(SUM(M149)-SUM(N149)),0),0)</f>
        <v>0</v>
      </c>
      <c r="M149" s="567" t="s">
        <v>521</v>
      </c>
      <c r="N149" s="568" t="s">
        <v>521</v>
      </c>
      <c r="O149" s="304" t="s">
        <v>89</v>
      </c>
    </row>
    <row r="150" spans="1:19" x14ac:dyDescent="0.25">
      <c r="C150" s="1163" t="s">
        <v>593</v>
      </c>
      <c r="D150" s="1164"/>
      <c r="E150" s="155" t="s">
        <v>89</v>
      </c>
      <c r="F150" s="567" t="s">
        <v>521</v>
      </c>
      <c r="G150" s="568" t="s">
        <v>521</v>
      </c>
      <c r="H150" s="567" t="s">
        <v>521</v>
      </c>
      <c r="I150" s="568" t="s">
        <v>521</v>
      </c>
      <c r="J150" s="465">
        <f>IF(AND(F150&lt;&gt;"-",G150&lt;&gt;"-",H150&lt;&gt;"-",I150&lt;&gt;"-"),MAX((SUM(F150)-SUM(G150))-(SUM(H150)-SUM(I150)),0),0)</f>
        <v>0</v>
      </c>
      <c r="K150" s="444">
        <f t="shared" si="5"/>
        <v>0</v>
      </c>
      <c r="L150" s="447">
        <f>IF(AND(F150&lt;&gt;"-",G150&lt;&gt;"-",M150&lt;&gt;"-",N150&lt;&gt;"-"),MAX((SUM(F150)-SUM(G150))-(SUM(M150)-SUM(N150)),0),0)</f>
        <v>0</v>
      </c>
      <c r="M150" s="567" t="s">
        <v>521</v>
      </c>
      <c r="N150" s="568" t="s">
        <v>521</v>
      </c>
      <c r="O150" s="304" t="s">
        <v>89</v>
      </c>
    </row>
    <row r="151" spans="1:19" x14ac:dyDescent="0.25">
      <c r="C151" s="1163" t="s">
        <v>594</v>
      </c>
      <c r="D151" s="1164"/>
      <c r="E151" s="155" t="s">
        <v>89</v>
      </c>
      <c r="F151" s="431"/>
      <c r="G151" s="432"/>
      <c r="H151" s="437"/>
      <c r="I151" s="432"/>
      <c r="J151" s="474">
        <f>IF($J152="Up",J153,J154)</f>
        <v>0</v>
      </c>
      <c r="K151" s="448">
        <f t="shared" si="5"/>
        <v>0</v>
      </c>
      <c r="L151" s="480">
        <f>IF($J152="Up",L153,L154)</f>
        <v>0</v>
      </c>
      <c r="M151" s="437"/>
      <c r="N151" s="432"/>
      <c r="O151" s="304" t="s">
        <v>89</v>
      </c>
    </row>
    <row r="152" spans="1:19" x14ac:dyDescent="0.25">
      <c r="C152" s="1174" t="s">
        <v>595</v>
      </c>
      <c r="D152" s="1164"/>
      <c r="E152" s="155" t="s">
        <v>89</v>
      </c>
      <c r="F152" s="424"/>
      <c r="G152" s="425"/>
      <c r="H152" s="435"/>
      <c r="I152" s="425"/>
      <c r="J152" s="1160" t="str">
        <f>IF(SUM(L153)&gt;SUM(L154),"Up","Down")</f>
        <v>Down</v>
      </c>
      <c r="K152" s="1161"/>
      <c r="L152" s="1162"/>
      <c r="M152" s="435"/>
      <c r="N152" s="425"/>
      <c r="O152" s="304" t="s">
        <v>89</v>
      </c>
    </row>
    <row r="153" spans="1:19" x14ac:dyDescent="0.25">
      <c r="C153" s="1175" t="s">
        <v>596</v>
      </c>
      <c r="D153" s="1159"/>
      <c r="E153" s="155" t="s">
        <v>89</v>
      </c>
      <c r="F153" s="566" t="s">
        <v>521</v>
      </c>
      <c r="G153" s="568" t="s">
        <v>521</v>
      </c>
      <c r="H153" s="567" t="s">
        <v>521</v>
      </c>
      <c r="I153" s="568" t="s">
        <v>521</v>
      </c>
      <c r="J153" s="465">
        <f>IF(AND(F153&lt;&gt;"-",G153&lt;&gt;"-",H153&lt;&gt;"-",I153&lt;&gt;"-"),MAX((SUM(F153)-SUM(G153))-(SUM(H153)-SUM(I153)),0),0)</f>
        <v>0</v>
      </c>
      <c r="K153" s="444">
        <f>SUM(L153)-SUM(J153)</f>
        <v>0</v>
      </c>
      <c r="L153" s="447">
        <f>IF(AND(F153&lt;&gt;"-",G153&lt;&gt;"-",M153&lt;&gt;"-",N153&lt;&gt;"-"),MAX((SUM(F153)-SUM(G153))-(SUM(M153)-SUM(N153)),0),0)</f>
        <v>0</v>
      </c>
      <c r="M153" s="567" t="s">
        <v>521</v>
      </c>
      <c r="N153" s="568" t="s">
        <v>521</v>
      </c>
      <c r="O153" s="304" t="s">
        <v>89</v>
      </c>
    </row>
    <row r="154" spans="1:19" x14ac:dyDescent="0.25">
      <c r="C154" s="1175" t="s">
        <v>597</v>
      </c>
      <c r="D154" s="1159"/>
      <c r="E154" s="155" t="s">
        <v>89</v>
      </c>
      <c r="F154" s="569" t="s">
        <v>521</v>
      </c>
      <c r="G154" s="571" t="s">
        <v>521</v>
      </c>
      <c r="H154" s="570" t="s">
        <v>521</v>
      </c>
      <c r="I154" s="571" t="s">
        <v>521</v>
      </c>
      <c r="J154" s="473">
        <f>IF(AND(F154&lt;&gt;"-",G154&lt;&gt;"-",H154&lt;&gt;"-",I154&lt;&gt;"-"),MAX((SUM(F154)-SUM(G154))-(SUM(H154)-SUM(I154)),0),0)</f>
        <v>0</v>
      </c>
      <c r="K154" s="456">
        <f>SUM(L154)-SUM(J154)</f>
        <v>0</v>
      </c>
      <c r="L154" s="479">
        <f>IF(AND(F154&lt;&gt;"-",G154&lt;&gt;"-",M154&lt;&gt;"-",N154&lt;&gt;"-"),MAX((SUM(F154)-SUM(G154))-(SUM(M154)-SUM(N154)),0),0)</f>
        <v>0</v>
      </c>
      <c r="M154" s="570" t="s">
        <v>521</v>
      </c>
      <c r="N154" s="571" t="s">
        <v>521</v>
      </c>
      <c r="O154" s="304" t="s">
        <v>89</v>
      </c>
    </row>
    <row r="155" spans="1:19" x14ac:dyDescent="0.25">
      <c r="A155" s="134" t="s">
        <v>829</v>
      </c>
      <c r="B155" s="135" t="str">
        <f>HYPERLINK(_TS_&amp;"#"&amp;SUBSTITUTE(A155,".","_"),"Open")</f>
        <v>Open</v>
      </c>
      <c r="C155" s="1156" t="s">
        <v>598</v>
      </c>
      <c r="D155" s="1157"/>
      <c r="E155" s="155" t="s">
        <v>89</v>
      </c>
      <c r="F155" s="435"/>
      <c r="G155" s="425"/>
      <c r="H155" s="435"/>
      <c r="I155" s="425"/>
      <c r="J155" s="474">
        <f>SUM(J156:J157)</f>
        <v>0</v>
      </c>
      <c r="K155" s="448">
        <f t="shared" si="5"/>
        <v>0</v>
      </c>
      <c r="L155" s="480">
        <f>SUM(L156:L157)</f>
        <v>0</v>
      </c>
      <c r="M155" s="435"/>
      <c r="N155" s="425"/>
      <c r="O155" s="304" t="s">
        <v>89</v>
      </c>
      <c r="P155" s="402"/>
    </row>
    <row r="156" spans="1:19" x14ac:dyDescent="0.25">
      <c r="C156" s="1176" t="s">
        <v>830</v>
      </c>
      <c r="D156" s="1159"/>
      <c r="E156" s="155" t="s">
        <v>89</v>
      </c>
      <c r="F156" s="567" t="s">
        <v>521</v>
      </c>
      <c r="G156" s="568" t="s">
        <v>521</v>
      </c>
      <c r="H156" s="567" t="s">
        <v>521</v>
      </c>
      <c r="I156" s="568" t="s">
        <v>521</v>
      </c>
      <c r="J156" s="465">
        <f>IF(AND(F156&lt;&gt;"-",G156&lt;&gt;"-",H156&lt;&gt;"-",I156&lt;&gt;"-"),MAX((SUM(F156)-SUM(G156))-(SUM(H156)-SUM(I156)),0),0)</f>
        <v>0</v>
      </c>
      <c r="K156" s="444">
        <f t="shared" si="5"/>
        <v>0</v>
      </c>
      <c r="L156" s="447">
        <f>IF(AND(F156&lt;&gt;"-",G156&lt;&gt;"-",M156&lt;&gt;"-",N156&lt;&gt;"-"),MAX((SUM(F156)-SUM(G156))-(SUM(M156)-SUM(N156)),0),0)</f>
        <v>0</v>
      </c>
      <c r="M156" s="567" t="s">
        <v>521</v>
      </c>
      <c r="N156" s="568" t="s">
        <v>521</v>
      </c>
      <c r="O156" s="304" t="s">
        <v>89</v>
      </c>
    </row>
    <row r="157" spans="1:19" x14ac:dyDescent="0.25">
      <c r="C157" s="1177" t="s">
        <v>831</v>
      </c>
      <c r="D157" s="1178"/>
      <c r="E157" s="155" t="s">
        <v>89</v>
      </c>
      <c r="F157" s="567" t="s">
        <v>521</v>
      </c>
      <c r="G157" s="568" t="s">
        <v>521</v>
      </c>
      <c r="H157" s="567" t="s">
        <v>521</v>
      </c>
      <c r="I157" s="568" t="s">
        <v>521</v>
      </c>
      <c r="J157" s="465">
        <f>IF(AND(F157&lt;&gt;"-",G157&lt;&gt;"-",H157&lt;&gt;"-",I157&lt;&gt;"-"),MAX((SUM(F157)-SUM(G157))-(SUM(H157)-SUM(I157)),0),0)</f>
        <v>0</v>
      </c>
      <c r="K157" s="444">
        <f t="shared" si="5"/>
        <v>0</v>
      </c>
      <c r="L157" s="447">
        <f>IF(AND(F157&lt;&gt;"-",G157&lt;&gt;"-",M157&lt;&gt;"-",N157&lt;&gt;"-"),MAX((SUM(F157)-SUM(G157))-(SUM(M157)-SUM(N157)),0),0)</f>
        <v>0</v>
      </c>
      <c r="M157" s="567" t="s">
        <v>521</v>
      </c>
      <c r="N157" s="568" t="s">
        <v>521</v>
      </c>
      <c r="O157" s="304" t="s">
        <v>89</v>
      </c>
    </row>
    <row r="158" spans="1:19" x14ac:dyDescent="0.25">
      <c r="C158" s="1173" t="s">
        <v>599</v>
      </c>
      <c r="D158" s="1152"/>
      <c r="E158" s="155" t="s">
        <v>89</v>
      </c>
      <c r="F158" s="420"/>
      <c r="G158" s="421"/>
      <c r="H158" s="420"/>
      <c r="I158" s="421"/>
      <c r="J158" s="933" t="s">
        <v>521</v>
      </c>
      <c r="K158" s="448">
        <f t="shared" si="5"/>
        <v>0</v>
      </c>
      <c r="L158" s="935" t="s">
        <v>521</v>
      </c>
      <c r="M158" s="420"/>
      <c r="N158" s="421"/>
      <c r="O158" s="304" t="s">
        <v>89</v>
      </c>
    </row>
    <row r="159" spans="1:19" x14ac:dyDescent="0.25">
      <c r="C159" s="1173" t="s">
        <v>1165</v>
      </c>
      <c r="D159" s="1152"/>
      <c r="E159" s="161" t="s">
        <v>89</v>
      </c>
      <c r="F159" s="526" t="s">
        <v>521</v>
      </c>
      <c r="G159" s="527" t="s">
        <v>521</v>
      </c>
      <c r="H159" s="526" t="s">
        <v>521</v>
      </c>
      <c r="I159" s="527" t="s">
        <v>521</v>
      </c>
      <c r="J159" s="473">
        <f>IF(AND(F159&lt;&gt;"-",G159&lt;&gt;"-",H159&lt;&gt;"-",I159&lt;&gt;"-"),MAX((SUM(F159)-SUM(G159))-(SUM(H159)-SUM(I159)),0),0)</f>
        <v>0</v>
      </c>
      <c r="K159" s="456">
        <f>SUM(L159)-SUM(J159)</f>
        <v>0</v>
      </c>
      <c r="L159" s="479">
        <f>IF(AND(F159&lt;&gt;"-",G159&lt;&gt;"-",M159&lt;&gt;"-",N159&lt;&gt;"-"),MAX((SUM(F159)-SUM(G159))-(SUM(M159)-SUM(N159)),0),0)</f>
        <v>0</v>
      </c>
      <c r="M159" s="526" t="s">
        <v>521</v>
      </c>
      <c r="N159" s="527" t="s">
        <v>521</v>
      </c>
      <c r="O159" s="304" t="s">
        <v>89</v>
      </c>
    </row>
    <row r="160" spans="1:19" x14ac:dyDescent="0.25">
      <c r="C160" s="4"/>
      <c r="D160" s="4"/>
      <c r="E160" s="4"/>
      <c r="F160" s="4"/>
      <c r="N160" s="402"/>
      <c r="O160" s="304" t="s">
        <v>89</v>
      </c>
    </row>
    <row r="161" spans="3:15" x14ac:dyDescent="0.25">
      <c r="C161" s="1043" t="s">
        <v>1045</v>
      </c>
      <c r="D161" s="1111" t="str">
        <f>$D$63</f>
        <v>VB és TM</v>
      </c>
      <c r="E161" s="402"/>
      <c r="F161" s="402"/>
      <c r="G161" s="402"/>
      <c r="H161" s="402"/>
      <c r="I161" s="402"/>
      <c r="J161" s="402"/>
      <c r="K161" s="402"/>
      <c r="L161" s="402"/>
      <c r="M161" s="402"/>
      <c r="O161" s="304" t="s">
        <v>89</v>
      </c>
    </row>
    <row r="162" spans="3:15" x14ac:dyDescent="0.25">
      <c r="C162" s="1045"/>
      <c r="D162" s="1112"/>
      <c r="E162" s="402"/>
      <c r="F162" s="402"/>
      <c r="G162" s="402"/>
      <c r="H162" s="402"/>
      <c r="I162" s="402"/>
      <c r="J162" s="402"/>
      <c r="K162" s="402"/>
      <c r="L162" s="402"/>
      <c r="M162" s="402"/>
      <c r="O162" s="304" t="s">
        <v>89</v>
      </c>
    </row>
    <row r="163" spans="3:15" x14ac:dyDescent="0.25">
      <c r="C163" s="203"/>
      <c r="D163" s="204"/>
      <c r="E163" s="402"/>
      <c r="F163" s="402"/>
      <c r="G163" s="402"/>
      <c r="H163" s="402"/>
      <c r="I163" s="402"/>
      <c r="J163" s="402"/>
      <c r="K163" s="402"/>
      <c r="L163" s="402"/>
      <c r="M163" s="402"/>
      <c r="O163" s="304" t="s">
        <v>89</v>
      </c>
    </row>
    <row r="164" spans="3:15" x14ac:dyDescent="0.25">
      <c r="C164" s="1179" t="s">
        <v>1124</v>
      </c>
      <c r="D164" s="1180"/>
      <c r="E164" s="205" t="s">
        <v>89</v>
      </c>
      <c r="F164" s="782" t="s">
        <v>735</v>
      </c>
      <c r="G164" s="691"/>
      <c r="H164" s="786" t="s">
        <v>584</v>
      </c>
      <c r="I164" s="787"/>
      <c r="J164" s="783"/>
      <c r="K164" s="784" t="str">
        <f>K134</f>
        <v>Scenario based stressed values</v>
      </c>
      <c r="L164" s="785"/>
      <c r="M164" s="1151" t="s">
        <v>586</v>
      </c>
      <c r="N164" s="1153"/>
      <c r="O164" s="304" t="s">
        <v>89</v>
      </c>
    </row>
    <row r="165" spans="3:15" x14ac:dyDescent="0.25">
      <c r="C165" s="1181" t="s">
        <v>587</v>
      </c>
      <c r="D165" s="1182"/>
      <c r="E165" s="205" t="s">
        <v>89</v>
      </c>
      <c r="F165" s="695" t="s">
        <v>0</v>
      </c>
      <c r="G165" s="695" t="s">
        <v>20</v>
      </c>
      <c r="H165" s="695" t="s">
        <v>0</v>
      </c>
      <c r="I165" s="695" t="s">
        <v>20</v>
      </c>
      <c r="J165" s="695" t="s">
        <v>550</v>
      </c>
      <c r="K165" s="695" t="s">
        <v>551</v>
      </c>
      <c r="L165" s="695" t="s">
        <v>552</v>
      </c>
      <c r="M165" s="695" t="s">
        <v>0</v>
      </c>
      <c r="N165" s="695" t="s">
        <v>20</v>
      </c>
      <c r="O165" s="304" t="s">
        <v>89</v>
      </c>
    </row>
    <row r="166" spans="3:15" x14ac:dyDescent="0.25">
      <c r="C166" s="1183" t="s">
        <v>576</v>
      </c>
      <c r="D166" s="1157"/>
      <c r="E166" s="157" t="s">
        <v>89</v>
      </c>
      <c r="F166" s="563" t="s">
        <v>521</v>
      </c>
      <c r="G166" s="565" t="s">
        <v>521</v>
      </c>
      <c r="H166" s="564" t="s">
        <v>521</v>
      </c>
      <c r="I166" s="565" t="s">
        <v>521</v>
      </c>
      <c r="J166" s="478">
        <f>IF(AND(F166&lt;&gt;"-",G166&lt;&gt;"-",H166&lt;&gt;"-",I166&lt;&gt;"-"),MAX((SUM(F166)-SUM(G166))-(SUM(H166)-SUM(I166)),0),0)</f>
        <v>0</v>
      </c>
      <c r="K166" s="443">
        <f>SUM(L166)-SUM(J166)</f>
        <v>0</v>
      </c>
      <c r="L166" s="446">
        <f>IF(AND(F166&lt;&gt;"-",G166&lt;&gt;"-",M166&lt;&gt;"-",N166&lt;&gt;"-"),MAX((SUM(F166)-SUM(G166))-(SUM(M166)-SUM(N166)),0),0)</f>
        <v>0</v>
      </c>
      <c r="M166" s="564" t="s">
        <v>521</v>
      </c>
      <c r="N166" s="565" t="s">
        <v>521</v>
      </c>
      <c r="O166" s="304" t="s">
        <v>89</v>
      </c>
    </row>
    <row r="167" spans="3:15" x14ac:dyDescent="0.25">
      <c r="C167" s="1158" t="s">
        <v>577</v>
      </c>
      <c r="D167" s="1159"/>
      <c r="E167" s="155" t="s">
        <v>89</v>
      </c>
      <c r="F167" s="566" t="s">
        <v>521</v>
      </c>
      <c r="G167" s="568" t="s">
        <v>521</v>
      </c>
      <c r="H167" s="567" t="s">
        <v>521</v>
      </c>
      <c r="I167" s="568" t="s">
        <v>521</v>
      </c>
      <c r="J167" s="465">
        <f>IF(AND(F167&lt;&gt;"-",G167&lt;&gt;"-",H167&lt;&gt;"-",I167&lt;&gt;"-"),MAX((SUM(F167)-SUM(G167))-(SUM(H167)-SUM(I167)),0),0)</f>
        <v>0</v>
      </c>
      <c r="K167" s="444">
        <f>SUM(L167)-SUM(J167)</f>
        <v>0</v>
      </c>
      <c r="L167" s="447">
        <f>IF(AND(F167&lt;&gt;"-",G167&lt;&gt;"-",M167&lt;&gt;"-",N167&lt;&gt;"-"),MAX((SUM(F167)-SUM(G167))-(SUM(M167)-SUM(N167)),0),0)</f>
        <v>0</v>
      </c>
      <c r="M167" s="567" t="s">
        <v>521</v>
      </c>
      <c r="N167" s="568" t="s">
        <v>521</v>
      </c>
      <c r="O167" s="304" t="s">
        <v>89</v>
      </c>
    </row>
    <row r="168" spans="3:15" x14ac:dyDescent="0.25">
      <c r="C168" s="1184" t="s">
        <v>621</v>
      </c>
      <c r="D168" s="1178"/>
      <c r="E168" s="155" t="s">
        <v>89</v>
      </c>
      <c r="F168" s="566" t="s">
        <v>521</v>
      </c>
      <c r="G168" s="568" t="s">
        <v>521</v>
      </c>
      <c r="H168" s="567" t="s">
        <v>521</v>
      </c>
      <c r="I168" s="568" t="s">
        <v>521</v>
      </c>
      <c r="J168" s="465">
        <f>IF(AND(F168&lt;&gt;"-",G168&lt;&gt;"-",H168&lt;&gt;"-",I168&lt;&gt;"-"),MAX((SUM(F168)-SUM(G168))-(SUM(H168)-SUM(I168)),0),0)</f>
        <v>0</v>
      </c>
      <c r="K168" s="444">
        <f>SUM(L168)-SUM(J168)</f>
        <v>0</v>
      </c>
      <c r="L168" s="447">
        <f>IF(AND(F168&lt;&gt;"-",G168&lt;&gt;"-",M168&lt;&gt;"-",N168&lt;&gt;"-"),MAX((SUM(F168)-SUM(G168))-(SUM(M168)-SUM(N168)),0),0)</f>
        <v>0</v>
      </c>
      <c r="M168" s="567" t="s">
        <v>521</v>
      </c>
      <c r="N168" s="568" t="s">
        <v>521</v>
      </c>
      <c r="O168" s="304" t="s">
        <v>89</v>
      </c>
    </row>
    <row r="169" spans="3:15" x14ac:dyDescent="0.25">
      <c r="C169" s="1183" t="s">
        <v>622</v>
      </c>
      <c r="D169" s="1157"/>
      <c r="E169" s="157" t="s">
        <v>89</v>
      </c>
      <c r="F169" s="431"/>
      <c r="G169" s="432"/>
      <c r="H169" s="437"/>
      <c r="I169" s="432"/>
      <c r="J169" s="475">
        <f>IF($J170="Up",J171,IF($J170="Down",J172,J173))</f>
        <v>0</v>
      </c>
      <c r="K169" s="448">
        <f>SUM(L169)-SUM(J169)</f>
        <v>0</v>
      </c>
      <c r="L169" s="448">
        <f>IF($J170="Up",L171,IF($J170="Down",L172,L173))</f>
        <v>0</v>
      </c>
      <c r="M169" s="437"/>
      <c r="N169" s="432"/>
      <c r="O169" s="304" t="s">
        <v>89</v>
      </c>
    </row>
    <row r="170" spans="3:15" x14ac:dyDescent="0.25">
      <c r="C170" s="1158" t="s">
        <v>623</v>
      </c>
      <c r="D170" s="1159"/>
      <c r="E170" s="155" t="s">
        <v>89</v>
      </c>
      <c r="F170" s="424"/>
      <c r="G170" s="425"/>
      <c r="H170" s="435"/>
      <c r="I170" s="425"/>
      <c r="J170" s="1160" t="str">
        <f>IF(MAX(L171:L173)=L172,"Down",IF(MAX(L171:L173)=L171,"Up","Mass"))</f>
        <v>Down</v>
      </c>
      <c r="K170" s="1161"/>
      <c r="L170" s="1162"/>
      <c r="M170" s="435"/>
      <c r="N170" s="425"/>
      <c r="O170" s="304" t="s">
        <v>89</v>
      </c>
    </row>
    <row r="171" spans="3:15" x14ac:dyDescent="0.25">
      <c r="C171" s="1176" t="s">
        <v>624</v>
      </c>
      <c r="D171" s="1159"/>
      <c r="E171" s="155" t="s">
        <v>89</v>
      </c>
      <c r="F171" s="566" t="s">
        <v>521</v>
      </c>
      <c r="G171" s="568" t="s">
        <v>521</v>
      </c>
      <c r="H171" s="567" t="s">
        <v>521</v>
      </c>
      <c r="I171" s="568" t="s">
        <v>521</v>
      </c>
      <c r="J171" s="465">
        <f t="shared" ref="J171:J176" si="6">IF(AND(F171&lt;&gt;"-",G171&lt;&gt;"-",H171&lt;&gt;"-",I171&lt;&gt;"-"),MAX((SUM(F171)-SUM(G171))-(SUM(H171)-SUM(I171)),0),0)</f>
        <v>0</v>
      </c>
      <c r="K171" s="444">
        <f t="shared" ref="K171:K176" si="7">SUM(L171)-SUM(J171)</f>
        <v>0</v>
      </c>
      <c r="L171" s="447">
        <f t="shared" ref="L171:L176" si="8">IF(AND(F171&lt;&gt;"-",G171&lt;&gt;"-",M171&lt;&gt;"-",N171&lt;&gt;"-"),MAX((SUM(F171)-SUM(G171))-(SUM(M171)-SUM(N171)),0),0)</f>
        <v>0</v>
      </c>
      <c r="M171" s="567" t="s">
        <v>521</v>
      </c>
      <c r="N171" s="568" t="s">
        <v>521</v>
      </c>
      <c r="O171" s="304" t="s">
        <v>89</v>
      </c>
    </row>
    <row r="172" spans="3:15" x14ac:dyDescent="0.25">
      <c r="C172" s="1176" t="s">
        <v>625</v>
      </c>
      <c r="D172" s="1159"/>
      <c r="E172" s="155" t="s">
        <v>89</v>
      </c>
      <c r="F172" s="566" t="s">
        <v>521</v>
      </c>
      <c r="G172" s="568" t="s">
        <v>521</v>
      </c>
      <c r="H172" s="567" t="s">
        <v>521</v>
      </c>
      <c r="I172" s="568" t="s">
        <v>521</v>
      </c>
      <c r="J172" s="465">
        <f t="shared" si="6"/>
        <v>0</v>
      </c>
      <c r="K172" s="444">
        <f t="shared" si="7"/>
        <v>0</v>
      </c>
      <c r="L172" s="447">
        <f t="shared" si="8"/>
        <v>0</v>
      </c>
      <c r="M172" s="567" t="s">
        <v>521</v>
      </c>
      <c r="N172" s="568" t="s">
        <v>521</v>
      </c>
      <c r="O172" s="304" t="s">
        <v>89</v>
      </c>
    </row>
    <row r="173" spans="3:15" x14ac:dyDescent="0.25">
      <c r="C173" s="1177" t="s">
        <v>626</v>
      </c>
      <c r="D173" s="1178"/>
      <c r="E173" s="161" t="s">
        <v>89</v>
      </c>
      <c r="F173" s="569" t="s">
        <v>521</v>
      </c>
      <c r="G173" s="571" t="s">
        <v>521</v>
      </c>
      <c r="H173" s="570" t="s">
        <v>521</v>
      </c>
      <c r="I173" s="571" t="s">
        <v>521</v>
      </c>
      <c r="J173" s="473">
        <f t="shared" si="6"/>
        <v>0</v>
      </c>
      <c r="K173" s="456">
        <f t="shared" si="7"/>
        <v>0</v>
      </c>
      <c r="L173" s="479">
        <f t="shared" si="8"/>
        <v>0</v>
      </c>
      <c r="M173" s="570" t="s">
        <v>521</v>
      </c>
      <c r="N173" s="571" t="s">
        <v>521</v>
      </c>
      <c r="O173" s="304" t="s">
        <v>89</v>
      </c>
    </row>
    <row r="174" spans="3:15" x14ac:dyDescent="0.25">
      <c r="C174" s="1158" t="s">
        <v>147</v>
      </c>
      <c r="D174" s="1159"/>
      <c r="E174" s="155" t="s">
        <v>89</v>
      </c>
      <c r="F174" s="566" t="s">
        <v>521</v>
      </c>
      <c r="G174" s="568" t="s">
        <v>521</v>
      </c>
      <c r="H174" s="567" t="s">
        <v>521</v>
      </c>
      <c r="I174" s="568" t="s">
        <v>521</v>
      </c>
      <c r="J174" s="465">
        <f t="shared" si="6"/>
        <v>0</v>
      </c>
      <c r="K174" s="444">
        <f t="shared" si="7"/>
        <v>0</v>
      </c>
      <c r="L174" s="447">
        <f t="shared" si="8"/>
        <v>0</v>
      </c>
      <c r="M174" s="567" t="s">
        <v>521</v>
      </c>
      <c r="N174" s="568" t="s">
        <v>521</v>
      </c>
      <c r="O174" s="304" t="s">
        <v>89</v>
      </c>
    </row>
    <row r="175" spans="3:15" x14ac:dyDescent="0.25">
      <c r="C175" s="1158" t="s">
        <v>65</v>
      </c>
      <c r="D175" s="1159"/>
      <c r="E175" s="155" t="s">
        <v>89</v>
      </c>
      <c r="F175" s="566" t="s">
        <v>521</v>
      </c>
      <c r="G175" s="568" t="s">
        <v>521</v>
      </c>
      <c r="H175" s="567" t="s">
        <v>521</v>
      </c>
      <c r="I175" s="568" t="s">
        <v>521</v>
      </c>
      <c r="J175" s="465">
        <f t="shared" si="6"/>
        <v>0</v>
      </c>
      <c r="K175" s="444">
        <f t="shared" si="7"/>
        <v>0</v>
      </c>
      <c r="L175" s="447">
        <f t="shared" si="8"/>
        <v>0</v>
      </c>
      <c r="M175" s="567" t="s">
        <v>521</v>
      </c>
      <c r="N175" s="568" t="s">
        <v>521</v>
      </c>
      <c r="O175" s="304" t="s">
        <v>89</v>
      </c>
    </row>
    <row r="176" spans="3:15" x14ac:dyDescent="0.25">
      <c r="C176" s="1184" t="s">
        <v>66</v>
      </c>
      <c r="D176" s="1178"/>
      <c r="E176" s="161" t="s">
        <v>89</v>
      </c>
      <c r="F176" s="569" t="s">
        <v>521</v>
      </c>
      <c r="G176" s="571" t="s">
        <v>521</v>
      </c>
      <c r="H176" s="570" t="s">
        <v>521</v>
      </c>
      <c r="I176" s="571" t="s">
        <v>521</v>
      </c>
      <c r="J176" s="473">
        <f t="shared" si="6"/>
        <v>0</v>
      </c>
      <c r="K176" s="456">
        <f t="shared" si="7"/>
        <v>0</v>
      </c>
      <c r="L176" s="479">
        <f t="shared" si="8"/>
        <v>0</v>
      </c>
      <c r="M176" s="570" t="s">
        <v>521</v>
      </c>
      <c r="N176" s="571" t="s">
        <v>521</v>
      </c>
      <c r="O176" s="304" t="s">
        <v>89</v>
      </c>
    </row>
    <row r="177" spans="1:23" x14ac:dyDescent="0.25">
      <c r="C177" s="4"/>
      <c r="D177" s="4"/>
      <c r="E177" s="4"/>
      <c r="F177" s="4"/>
      <c r="O177" s="304" t="s">
        <v>89</v>
      </c>
    </row>
    <row r="178" spans="1:23" x14ac:dyDescent="0.25">
      <c r="C178" s="1043" t="s">
        <v>1046</v>
      </c>
      <c r="D178" s="1111" t="str">
        <f>$D$63</f>
        <v>VB és TM</v>
      </c>
      <c r="E178" s="402"/>
      <c r="F178" s="402"/>
      <c r="G178" s="402"/>
      <c r="H178" s="402"/>
      <c r="I178" s="402"/>
      <c r="J178" s="402"/>
      <c r="K178" s="402"/>
      <c r="L178" s="402"/>
      <c r="M178" s="402"/>
      <c r="O178" s="304" t="s">
        <v>89</v>
      </c>
    </row>
    <row r="179" spans="1:23" x14ac:dyDescent="0.25">
      <c r="C179" s="1045"/>
      <c r="D179" s="1112"/>
      <c r="E179" s="402"/>
      <c r="F179" s="402"/>
      <c r="G179" s="402"/>
      <c r="H179" s="402"/>
      <c r="I179" s="402"/>
      <c r="J179" s="402"/>
      <c r="K179" s="402"/>
      <c r="L179" s="402"/>
      <c r="M179" s="402"/>
      <c r="O179" s="304" t="s">
        <v>89</v>
      </c>
    </row>
    <row r="180" spans="1:23" x14ac:dyDescent="0.25">
      <c r="C180" s="203"/>
      <c r="D180" s="204"/>
      <c r="E180" s="402"/>
      <c r="F180" s="402"/>
      <c r="G180" s="402"/>
      <c r="H180" s="402"/>
      <c r="I180" s="402"/>
      <c r="J180" s="402"/>
      <c r="K180" s="402"/>
      <c r="L180" s="402"/>
      <c r="M180" s="402"/>
      <c r="O180" s="304" t="s">
        <v>89</v>
      </c>
    </row>
    <row r="181" spans="1:23" x14ac:dyDescent="0.25">
      <c r="C181" s="945" t="s">
        <v>628</v>
      </c>
      <c r="D181" s="946"/>
      <c r="E181" s="402"/>
      <c r="F181" s="695" t="s">
        <v>548</v>
      </c>
      <c r="G181" s="695" t="s">
        <v>549</v>
      </c>
      <c r="H181" s="695" t="s">
        <v>550</v>
      </c>
      <c r="I181" s="695" t="s">
        <v>551</v>
      </c>
      <c r="J181" s="695" t="s">
        <v>552</v>
      </c>
      <c r="K181" s="71" t="s">
        <v>738</v>
      </c>
      <c r="L181" s="94"/>
      <c r="M181" s="94"/>
      <c r="N181" s="94"/>
      <c r="O181" s="304" t="s">
        <v>89</v>
      </c>
    </row>
    <row r="182" spans="1:23" x14ac:dyDescent="0.25">
      <c r="A182" s="134" t="s">
        <v>1094</v>
      </c>
      <c r="B182" s="135" t="str">
        <f>HYPERLINK(_TS_&amp;"#"&amp;SUBSTITUTE(A182,".","_"),"Open")</f>
        <v>Open</v>
      </c>
      <c r="C182" s="671" t="s">
        <v>616</v>
      </c>
      <c r="D182" s="451">
        <f>SQRT(D216^2+D229^2)</f>
        <v>0</v>
      </c>
      <c r="E182" s="402"/>
      <c r="F182" s="453">
        <f>SUM(H183:H189)</f>
        <v>0</v>
      </c>
      <c r="G182" s="453">
        <f>SUM(H182)-SUM(F182)</f>
        <v>0</v>
      </c>
      <c r="H182" s="448">
        <f>SQRT(SUMPRODUCT(H183:H188,MMULT($R$183:$W$188,H183:H188*1)))</f>
        <v>0</v>
      </c>
      <c r="I182" s="448">
        <f>SUM(H182)-SUM(J182)</f>
        <v>0</v>
      </c>
      <c r="J182" s="448">
        <f>SQRT(SUMPRODUCT(J183:J188,MMULT($R$183:$W$188,J183:J188*1)))</f>
        <v>0</v>
      </c>
      <c r="K182" s="776" t="s">
        <v>617</v>
      </c>
      <c r="L182" s="777"/>
      <c r="M182" s="777"/>
      <c r="N182" s="778"/>
      <c r="O182" s="304" t="s">
        <v>89</v>
      </c>
      <c r="P182" s="213" t="s">
        <v>151</v>
      </c>
      <c r="Q182" s="295" t="s">
        <v>155</v>
      </c>
      <c r="R182" s="34" t="s">
        <v>61</v>
      </c>
      <c r="S182" s="35" t="s">
        <v>62</v>
      </c>
      <c r="T182" s="35" t="s">
        <v>156</v>
      </c>
      <c r="U182" s="35" t="s">
        <v>63</v>
      </c>
      <c r="V182" s="35" t="s">
        <v>64</v>
      </c>
      <c r="W182" s="36" t="s">
        <v>65</v>
      </c>
    </row>
    <row r="183" spans="1:23" x14ac:dyDescent="0.25">
      <c r="C183" s="4"/>
      <c r="D183" s="4"/>
      <c r="E183" s="402"/>
      <c r="F183" s="424"/>
      <c r="G183" s="435"/>
      <c r="H183" s="465">
        <f>SUM(J198)</f>
        <v>0</v>
      </c>
      <c r="I183" s="444">
        <f t="shared" ref="I183:I188" si="9">SUM(J183)-SUM(H183)</f>
        <v>0</v>
      </c>
      <c r="J183" s="465">
        <f>SUM(L198)</f>
        <v>0</v>
      </c>
      <c r="K183" s="774" t="s">
        <v>576</v>
      </c>
      <c r="L183" s="769"/>
      <c r="M183" s="769"/>
      <c r="N183" s="607"/>
      <c r="O183" s="304" t="s">
        <v>89</v>
      </c>
      <c r="Q183" s="37" t="s">
        <v>61</v>
      </c>
      <c r="R183" s="296">
        <v>1</v>
      </c>
      <c r="S183" s="297">
        <f>R184</f>
        <v>-0.25</v>
      </c>
      <c r="T183" s="297">
        <f>R185</f>
        <v>0.25</v>
      </c>
      <c r="U183" s="297">
        <f>R186</f>
        <v>0</v>
      </c>
      <c r="V183" s="297">
        <f>R187</f>
        <v>0.25</v>
      </c>
      <c r="W183" s="298">
        <f>R188</f>
        <v>0</v>
      </c>
    </row>
    <row r="184" spans="1:23" x14ac:dyDescent="0.25">
      <c r="C184" s="4"/>
      <c r="D184" s="4"/>
      <c r="E184" s="402"/>
      <c r="F184" s="424"/>
      <c r="G184" s="435"/>
      <c r="H184" s="465">
        <f>SUM(J199)</f>
        <v>0</v>
      </c>
      <c r="I184" s="444">
        <f t="shared" si="9"/>
        <v>0</v>
      </c>
      <c r="J184" s="465">
        <f>SUM(L199)</f>
        <v>0</v>
      </c>
      <c r="K184" s="754" t="s">
        <v>577</v>
      </c>
      <c r="L184" s="734"/>
      <c r="M184" s="734"/>
      <c r="N184" s="770"/>
      <c r="O184" s="304" t="s">
        <v>89</v>
      </c>
      <c r="Q184" s="37" t="s">
        <v>62</v>
      </c>
      <c r="R184" s="296">
        <v>-0.25</v>
      </c>
      <c r="S184" s="296">
        <v>1</v>
      </c>
      <c r="T184" s="297">
        <f>S185</f>
        <v>0</v>
      </c>
      <c r="U184" s="297">
        <f>S186</f>
        <v>0.25</v>
      </c>
      <c r="V184" s="297">
        <f>S187</f>
        <v>0.25</v>
      </c>
      <c r="W184" s="298">
        <f>S188</f>
        <v>0.25</v>
      </c>
    </row>
    <row r="185" spans="1:23" x14ac:dyDescent="0.25">
      <c r="C185" s="4"/>
      <c r="D185" s="4"/>
      <c r="E185" s="4"/>
      <c r="F185" s="424"/>
      <c r="G185" s="435"/>
      <c r="H185" s="465">
        <f>SUM(J200)</f>
        <v>0</v>
      </c>
      <c r="I185" s="444">
        <f t="shared" si="9"/>
        <v>0</v>
      </c>
      <c r="J185" s="465">
        <f>SUM(L200)</f>
        <v>0</v>
      </c>
      <c r="K185" s="754" t="s">
        <v>578</v>
      </c>
      <c r="L185" s="734"/>
      <c r="M185" s="734"/>
      <c r="N185" s="770"/>
      <c r="O185" s="304" t="s">
        <v>89</v>
      </c>
      <c r="Q185" s="37" t="s">
        <v>156</v>
      </c>
      <c r="R185" s="296">
        <v>0.25</v>
      </c>
      <c r="S185" s="296">
        <v>0</v>
      </c>
      <c r="T185" s="296">
        <v>1</v>
      </c>
      <c r="U185" s="297">
        <f>T186</f>
        <v>0</v>
      </c>
      <c r="V185" s="297">
        <f>T187</f>
        <v>0.5</v>
      </c>
      <c r="W185" s="298">
        <f>T188</f>
        <v>0</v>
      </c>
    </row>
    <row r="186" spans="1:23" x14ac:dyDescent="0.25">
      <c r="C186" s="4"/>
      <c r="D186" s="4"/>
      <c r="E186" s="4"/>
      <c r="F186" s="424"/>
      <c r="G186" s="435"/>
      <c r="H186" s="465">
        <f>SUM(J206)</f>
        <v>0</v>
      </c>
      <c r="I186" s="444">
        <f t="shared" si="9"/>
        <v>0</v>
      </c>
      <c r="J186" s="465">
        <f>SUM(L206)</f>
        <v>0</v>
      </c>
      <c r="K186" s="754" t="s">
        <v>627</v>
      </c>
      <c r="L186" s="734"/>
      <c r="M186" s="734"/>
      <c r="N186" s="770"/>
      <c r="O186" s="304" t="s">
        <v>89</v>
      </c>
      <c r="Q186" s="37" t="s">
        <v>63</v>
      </c>
      <c r="R186" s="296">
        <v>0</v>
      </c>
      <c r="S186" s="296">
        <v>0.25</v>
      </c>
      <c r="T186" s="296">
        <v>0</v>
      </c>
      <c r="U186" s="296">
        <v>1</v>
      </c>
      <c r="V186" s="297">
        <f>U187</f>
        <v>0.5</v>
      </c>
      <c r="W186" s="298">
        <f>U188</f>
        <v>0</v>
      </c>
    </row>
    <row r="187" spans="1:23" x14ac:dyDescent="0.25">
      <c r="C187" s="4"/>
      <c r="D187" s="4"/>
      <c r="E187" s="4"/>
      <c r="F187" s="424"/>
      <c r="G187" s="435"/>
      <c r="H187" s="465">
        <f>SUM(J211)</f>
        <v>0</v>
      </c>
      <c r="I187" s="444">
        <f t="shared" si="9"/>
        <v>0</v>
      </c>
      <c r="J187" s="465">
        <f>SUM(L211)</f>
        <v>0</v>
      </c>
      <c r="K187" s="754" t="s">
        <v>147</v>
      </c>
      <c r="L187" s="734"/>
      <c r="M187" s="734"/>
      <c r="N187" s="770"/>
      <c r="O187" s="304" t="s">
        <v>89</v>
      </c>
      <c r="Q187" s="37" t="s">
        <v>64</v>
      </c>
      <c r="R187" s="296">
        <v>0.25</v>
      </c>
      <c r="S187" s="296">
        <v>0.25</v>
      </c>
      <c r="T187" s="296">
        <v>0.5</v>
      </c>
      <c r="U187" s="296">
        <v>0.5</v>
      </c>
      <c r="V187" s="296">
        <v>1</v>
      </c>
      <c r="W187" s="298">
        <f>V188</f>
        <v>0.5</v>
      </c>
    </row>
    <row r="188" spans="1:23" x14ac:dyDescent="0.25">
      <c r="C188" s="4"/>
      <c r="D188" s="4"/>
      <c r="E188" s="4"/>
      <c r="F188" s="427"/>
      <c r="G188" s="436"/>
      <c r="H188" s="473">
        <f>SUM(J212)</f>
        <v>0</v>
      </c>
      <c r="I188" s="456">
        <f t="shared" si="9"/>
        <v>0</v>
      </c>
      <c r="J188" s="473">
        <f>SUM(L212)</f>
        <v>0</v>
      </c>
      <c r="K188" s="775" t="s">
        <v>65</v>
      </c>
      <c r="L188" s="772"/>
      <c r="M188" s="772"/>
      <c r="N188" s="773"/>
      <c r="O188" s="304" t="s">
        <v>89</v>
      </c>
      <c r="Q188" s="41" t="s">
        <v>65</v>
      </c>
      <c r="R188" s="299">
        <v>0</v>
      </c>
      <c r="S188" s="299">
        <v>0.25</v>
      </c>
      <c r="T188" s="299">
        <v>0</v>
      </c>
      <c r="U188" s="299">
        <v>0</v>
      </c>
      <c r="V188" s="299">
        <v>0.5</v>
      </c>
      <c r="W188" s="299">
        <v>1</v>
      </c>
    </row>
    <row r="189" spans="1:23" x14ac:dyDescent="0.25">
      <c r="C189" s="4"/>
      <c r="D189" s="4"/>
      <c r="E189" s="4"/>
      <c r="F189" s="4"/>
      <c r="O189" s="304" t="s">
        <v>89</v>
      </c>
    </row>
    <row r="190" spans="1:23" x14ac:dyDescent="0.25">
      <c r="A190" s="134" t="s">
        <v>837</v>
      </c>
      <c r="B190" s="135" t="str">
        <f>HYPERLINK(_TS_&amp;"#"&amp;SUBSTITUTE(A190,".","_"),"Open")</f>
        <v>Open</v>
      </c>
      <c r="C190" s="4"/>
      <c r="D190" s="4"/>
      <c r="E190" s="4"/>
      <c r="F190" s="695" t="s">
        <v>548</v>
      </c>
      <c r="G190" s="695" t="s">
        <v>549</v>
      </c>
      <c r="H190" s="695" t="s">
        <v>550</v>
      </c>
      <c r="I190" s="695" t="s">
        <v>551</v>
      </c>
      <c r="J190" s="695" t="s">
        <v>552</v>
      </c>
      <c r="K190" s="71" t="s">
        <v>154</v>
      </c>
      <c r="L190" s="94"/>
      <c r="M190" s="94"/>
      <c r="N190" s="94"/>
      <c r="O190" s="304" t="s">
        <v>89</v>
      </c>
      <c r="Q190" s="295" t="s">
        <v>157</v>
      </c>
      <c r="R190" s="34" t="s">
        <v>158</v>
      </c>
      <c r="S190" s="36" t="s">
        <v>159</v>
      </c>
    </row>
    <row r="191" spans="1:23" x14ac:dyDescent="0.25">
      <c r="C191" s="4"/>
      <c r="D191" s="4"/>
      <c r="E191" s="4"/>
      <c r="F191" s="453">
        <f>SUM(H192:H194)</f>
        <v>0</v>
      </c>
      <c r="G191" s="453">
        <f>SUM(H191)-SUM(F191)</f>
        <v>0</v>
      </c>
      <c r="H191" s="451">
        <f>SQRT(SUMSQ(H192:H194))</f>
        <v>0</v>
      </c>
      <c r="I191" s="448">
        <f>SUM(H191)-SUM(J191)</f>
        <v>0</v>
      </c>
      <c r="J191" s="451">
        <f>SQRT(SUMSQ(J192:J194))</f>
        <v>0</v>
      </c>
      <c r="K191" s="776" t="s">
        <v>617</v>
      </c>
      <c r="L191" s="777"/>
      <c r="M191" s="777"/>
      <c r="N191" s="778"/>
      <c r="O191" s="304" t="s">
        <v>89</v>
      </c>
      <c r="Q191" s="37" t="s">
        <v>158</v>
      </c>
      <c r="R191" s="296">
        <v>1</v>
      </c>
      <c r="S191" s="298">
        <f>R192</f>
        <v>0</v>
      </c>
    </row>
    <row r="192" spans="1:23" x14ac:dyDescent="0.25">
      <c r="C192" s="4"/>
      <c r="D192" s="4"/>
      <c r="E192" s="4"/>
      <c r="F192" s="424"/>
      <c r="G192" s="435"/>
      <c r="H192" s="514" t="s">
        <v>521</v>
      </c>
      <c r="I192" s="444">
        <f>SUM(J192)-SUM(H192)</f>
        <v>0</v>
      </c>
      <c r="J192" s="514" t="str">
        <f>H192</f>
        <v>-</v>
      </c>
      <c r="K192" s="754" t="s">
        <v>836</v>
      </c>
      <c r="L192" s="734"/>
      <c r="M192" s="734"/>
      <c r="N192" s="770"/>
      <c r="O192" s="304" t="s">
        <v>89</v>
      </c>
      <c r="Q192" s="41" t="s">
        <v>159</v>
      </c>
      <c r="R192" s="299">
        <v>0</v>
      </c>
      <c r="S192" s="299">
        <v>1</v>
      </c>
    </row>
    <row r="193" spans="3:15" x14ac:dyDescent="0.25">
      <c r="C193" s="4"/>
      <c r="D193" s="4"/>
      <c r="E193" s="4"/>
      <c r="F193" s="424"/>
      <c r="G193" s="435"/>
      <c r="H193" s="514" t="s">
        <v>521</v>
      </c>
      <c r="I193" s="444">
        <f>SUM(J193)-SUM(H193)</f>
        <v>0</v>
      </c>
      <c r="J193" s="514" t="str">
        <f>H193</f>
        <v>-</v>
      </c>
      <c r="K193" s="754" t="s">
        <v>445</v>
      </c>
      <c r="L193" s="734"/>
      <c r="M193" s="734"/>
      <c r="N193" s="770"/>
      <c r="O193" s="304" t="s">
        <v>89</v>
      </c>
    </row>
    <row r="194" spans="3:15" x14ac:dyDescent="0.25">
      <c r="C194" s="4"/>
      <c r="D194" s="4"/>
      <c r="E194" s="4"/>
      <c r="F194" s="427"/>
      <c r="G194" s="436"/>
      <c r="H194" s="519" t="s">
        <v>521</v>
      </c>
      <c r="I194" s="456">
        <f>SUM(J194)-SUM(H194)</f>
        <v>0</v>
      </c>
      <c r="J194" s="519" t="str">
        <f>H194</f>
        <v>-</v>
      </c>
      <c r="K194" s="775" t="s">
        <v>446</v>
      </c>
      <c r="L194" s="772"/>
      <c r="M194" s="772"/>
      <c r="N194" s="773"/>
      <c r="O194" s="304" t="s">
        <v>89</v>
      </c>
    </row>
    <row r="195" spans="3:15" x14ac:dyDescent="0.25">
      <c r="C195" s="203"/>
      <c r="D195" s="204"/>
      <c r="E195" s="402"/>
      <c r="F195" s="4"/>
      <c r="H195" s="402"/>
      <c r="I195" s="402"/>
      <c r="J195" s="402"/>
      <c r="O195" s="304" t="s">
        <v>89</v>
      </c>
    </row>
    <row r="196" spans="3:15" x14ac:dyDescent="0.25">
      <c r="C196" s="1149" t="s">
        <v>737</v>
      </c>
      <c r="D196" s="1150"/>
      <c r="E196" s="205" t="s">
        <v>89</v>
      </c>
      <c r="F196" s="782" t="s">
        <v>735</v>
      </c>
      <c r="G196" s="691"/>
      <c r="H196" s="788" t="s">
        <v>584</v>
      </c>
      <c r="I196" s="787"/>
      <c r="J196" s="783"/>
      <c r="K196" s="784" t="str">
        <f>K164</f>
        <v>Scenario based stressed values</v>
      </c>
      <c r="L196" s="785"/>
      <c r="M196" s="788" t="s">
        <v>586</v>
      </c>
      <c r="N196" s="787"/>
      <c r="O196" s="304" t="s">
        <v>89</v>
      </c>
    </row>
    <row r="197" spans="3:15" x14ac:dyDescent="0.25">
      <c r="C197" s="1185" t="s">
        <v>587</v>
      </c>
      <c r="D197" s="1186"/>
      <c r="E197" s="205" t="s">
        <v>89</v>
      </c>
      <c r="F197" s="695" t="s">
        <v>0</v>
      </c>
      <c r="G197" s="695" t="s">
        <v>20</v>
      </c>
      <c r="H197" s="789" t="s">
        <v>0</v>
      </c>
      <c r="I197" s="695" t="s">
        <v>20</v>
      </c>
      <c r="J197" s="695" t="s">
        <v>550</v>
      </c>
      <c r="K197" s="695" t="s">
        <v>551</v>
      </c>
      <c r="L197" s="695" t="s">
        <v>552</v>
      </c>
      <c r="M197" s="695" t="s">
        <v>0</v>
      </c>
      <c r="N197" s="695" t="s">
        <v>20</v>
      </c>
      <c r="O197" s="304" t="s">
        <v>89</v>
      </c>
    </row>
    <row r="198" spans="3:15" x14ac:dyDescent="0.25">
      <c r="C198" s="1183" t="s">
        <v>576</v>
      </c>
      <c r="D198" s="1157"/>
      <c r="E198" s="157" t="s">
        <v>89</v>
      </c>
      <c r="F198" s="520" t="s">
        <v>521</v>
      </c>
      <c r="G198" s="522" t="s">
        <v>521</v>
      </c>
      <c r="H198" s="521" t="s">
        <v>521</v>
      </c>
      <c r="I198" s="522" t="s">
        <v>521</v>
      </c>
      <c r="J198" s="478">
        <f>IF(AND(F198&lt;&gt;"-",G198&lt;&gt;"-",H198&lt;&gt;"-",I198&lt;&gt;"-"),MAX((SUM(F198)-SUM(G198))-(SUM(H198)-SUM(I198)),0),0)</f>
        <v>0</v>
      </c>
      <c r="K198" s="443">
        <f>SUM(L198)-SUM(J198)</f>
        <v>0</v>
      </c>
      <c r="L198" s="446">
        <f>IF(AND(F198&lt;&gt;"-",G198&lt;&gt;"-",M198&lt;&gt;"-",N198&lt;&gt;"-"),MAX((SUM(F198)-SUM(G198))-(SUM(M198)-SUM(N198)),0),0)</f>
        <v>0</v>
      </c>
      <c r="M198" s="521" t="s">
        <v>521</v>
      </c>
      <c r="N198" s="522" t="s">
        <v>521</v>
      </c>
      <c r="O198" s="304" t="s">
        <v>89</v>
      </c>
    </row>
    <row r="199" spans="3:15" x14ac:dyDescent="0.25">
      <c r="C199" s="1158" t="s">
        <v>577</v>
      </c>
      <c r="D199" s="1159"/>
      <c r="E199" s="155" t="s">
        <v>89</v>
      </c>
      <c r="F199" s="525" t="s">
        <v>521</v>
      </c>
      <c r="G199" s="527" t="s">
        <v>521</v>
      </c>
      <c r="H199" s="523" t="s">
        <v>521</v>
      </c>
      <c r="I199" s="524" t="s">
        <v>521</v>
      </c>
      <c r="J199" s="465">
        <f>IF(AND(F199&lt;&gt;"-",G199&lt;&gt;"-",H199&lt;&gt;"-",I199&lt;&gt;"-"),MAX((SUM(F199)-SUM(G199))-(SUM(H199)-SUM(I199)),0),0)</f>
        <v>0</v>
      </c>
      <c r="K199" s="444">
        <f>SUM(L199)-SUM(J199)</f>
        <v>0</v>
      </c>
      <c r="L199" s="447">
        <f>IF(AND(F199&lt;&gt;"-",G199&lt;&gt;"-",M199&lt;&gt;"-",N199&lt;&gt;"-"),MAX((SUM(F199)-SUM(G199))-(SUM(M199)-SUM(N199)),0),0)</f>
        <v>0</v>
      </c>
      <c r="M199" s="523" t="s">
        <v>521</v>
      </c>
      <c r="N199" s="524" t="s">
        <v>521</v>
      </c>
      <c r="O199" s="304" t="s">
        <v>89</v>
      </c>
    </row>
    <row r="200" spans="3:15" x14ac:dyDescent="0.25">
      <c r="C200" s="1183" t="s">
        <v>621</v>
      </c>
      <c r="D200" s="1157"/>
      <c r="E200" s="157" t="s">
        <v>89</v>
      </c>
      <c r="F200" s="424"/>
      <c r="G200" s="425"/>
      <c r="H200" s="437"/>
      <c r="I200" s="432"/>
      <c r="J200" s="478">
        <f>SUM(J201,J205)</f>
        <v>0</v>
      </c>
      <c r="K200" s="443">
        <f>SUM(L200)-SUM(J200)</f>
        <v>0</v>
      </c>
      <c r="L200" s="443">
        <f>SUM(L201,L205)</f>
        <v>0</v>
      </c>
      <c r="M200" s="437"/>
      <c r="N200" s="432"/>
      <c r="O200" s="304" t="s">
        <v>89</v>
      </c>
    </row>
    <row r="201" spans="3:15" x14ac:dyDescent="0.25">
      <c r="C201" s="1187" t="s">
        <v>632</v>
      </c>
      <c r="D201" s="1168"/>
      <c r="E201" s="157" t="s">
        <v>89</v>
      </c>
      <c r="F201" s="431"/>
      <c r="G201" s="432"/>
      <c r="H201" s="437"/>
      <c r="I201" s="432"/>
      <c r="J201" s="453">
        <f>IF($J202="Up",J203,J204)</f>
        <v>0</v>
      </c>
      <c r="K201" s="448">
        <f>SUM(L201)-SUM(J201)</f>
        <v>0</v>
      </c>
      <c r="L201" s="455">
        <f>IF($J202="Up",L203,L204)</f>
        <v>0</v>
      </c>
      <c r="M201" s="437"/>
      <c r="N201" s="432"/>
      <c r="O201" s="304" t="s">
        <v>89</v>
      </c>
    </row>
    <row r="202" spans="3:15" x14ac:dyDescent="0.25">
      <c r="C202" s="1188" t="s">
        <v>633</v>
      </c>
      <c r="D202" s="1189"/>
      <c r="E202" s="155" t="s">
        <v>89</v>
      </c>
      <c r="F202" s="424"/>
      <c r="G202" s="425"/>
      <c r="H202" s="435"/>
      <c r="I202" s="425"/>
      <c r="J202" s="1160" t="str">
        <f>IF(SUM(L203)&gt;SUM(L204),"Up","Down")</f>
        <v>Down</v>
      </c>
      <c r="K202" s="1161"/>
      <c r="L202" s="1162"/>
      <c r="M202" s="435"/>
      <c r="N202" s="425"/>
      <c r="O202" s="304" t="s">
        <v>89</v>
      </c>
    </row>
    <row r="203" spans="3:15" x14ac:dyDescent="0.25">
      <c r="C203" s="1169" t="s">
        <v>443</v>
      </c>
      <c r="D203" s="1170"/>
      <c r="E203" s="155" t="s">
        <v>89</v>
      </c>
      <c r="F203" s="515" t="s">
        <v>521</v>
      </c>
      <c r="G203" s="524" t="s">
        <v>521</v>
      </c>
      <c r="H203" s="523" t="s">
        <v>521</v>
      </c>
      <c r="I203" s="524" t="s">
        <v>521</v>
      </c>
      <c r="J203" s="465">
        <f t="shared" ref="J203:J212" si="10">IF(AND(F203&lt;&gt;"-",G203&lt;&gt;"-",H203&lt;&gt;"-",I203&lt;&gt;"-"),MAX((SUM(F203)-SUM(G203))-(SUM(H203)-SUM(I203)),0),0)</f>
        <v>0</v>
      </c>
      <c r="K203" s="444">
        <f t="shared" ref="K203:K212" si="11">SUM(L203)-SUM(J203)</f>
        <v>0</v>
      </c>
      <c r="L203" s="447">
        <f t="shared" ref="L203:L212" si="12">IF(AND(F203&lt;&gt;"-",G203&lt;&gt;"-",M203&lt;&gt;"-",N203&lt;&gt;"-"),MAX((SUM(F203)-SUM(G203))-(SUM(M203)-SUM(N203)),0),0)</f>
        <v>0</v>
      </c>
      <c r="M203" s="523" t="s">
        <v>521</v>
      </c>
      <c r="N203" s="524" t="s">
        <v>521</v>
      </c>
      <c r="O203" s="304" t="s">
        <v>89</v>
      </c>
    </row>
    <row r="204" spans="3:15" x14ac:dyDescent="0.25">
      <c r="C204" s="1171" t="s">
        <v>444</v>
      </c>
      <c r="D204" s="1172"/>
      <c r="E204" s="161" t="s">
        <v>89</v>
      </c>
      <c r="F204" s="525" t="s">
        <v>521</v>
      </c>
      <c r="G204" s="527" t="s">
        <v>521</v>
      </c>
      <c r="H204" s="526" t="s">
        <v>521</v>
      </c>
      <c r="I204" s="527" t="s">
        <v>521</v>
      </c>
      <c r="J204" s="473">
        <f t="shared" si="10"/>
        <v>0</v>
      </c>
      <c r="K204" s="456">
        <f t="shared" si="11"/>
        <v>0</v>
      </c>
      <c r="L204" s="479">
        <f t="shared" si="12"/>
        <v>0</v>
      </c>
      <c r="M204" s="526" t="s">
        <v>521</v>
      </c>
      <c r="N204" s="527" t="s">
        <v>521</v>
      </c>
      <c r="O204" s="304" t="s">
        <v>89</v>
      </c>
    </row>
    <row r="205" spans="3:15" x14ac:dyDescent="0.25">
      <c r="C205" s="1190" t="s">
        <v>634</v>
      </c>
      <c r="D205" s="1191"/>
      <c r="E205" s="161" t="s">
        <v>89</v>
      </c>
      <c r="F205" s="525" t="s">
        <v>521</v>
      </c>
      <c r="G205" s="527" t="s">
        <v>521</v>
      </c>
      <c r="H205" s="526" t="s">
        <v>521</v>
      </c>
      <c r="I205" s="527" t="s">
        <v>521</v>
      </c>
      <c r="J205" s="473">
        <f t="shared" si="10"/>
        <v>0</v>
      </c>
      <c r="K205" s="456">
        <f t="shared" si="11"/>
        <v>0</v>
      </c>
      <c r="L205" s="479">
        <f t="shared" si="12"/>
        <v>0</v>
      </c>
      <c r="M205" s="526" t="s">
        <v>521</v>
      </c>
      <c r="N205" s="527" t="s">
        <v>521</v>
      </c>
      <c r="O205" s="304" t="s">
        <v>89</v>
      </c>
    </row>
    <row r="206" spans="3:15" x14ac:dyDescent="0.25">
      <c r="C206" s="1183" t="s">
        <v>622</v>
      </c>
      <c r="D206" s="1157"/>
      <c r="E206" s="157" t="s">
        <v>89</v>
      </c>
      <c r="F206" s="431"/>
      <c r="G206" s="432"/>
      <c r="H206" s="437"/>
      <c r="I206" s="432"/>
      <c r="J206" s="475">
        <f>IF($J207="Up",J208,IF($J207="Down",J209,J210))</f>
        <v>0</v>
      </c>
      <c r="K206" s="448">
        <f>SUM(L206)-SUM(J206)</f>
        <v>0</v>
      </c>
      <c r="L206" s="448">
        <f>IF($J207="Up",L208,IF($J207="Down",L209,L210))</f>
        <v>0</v>
      </c>
      <c r="M206" s="437"/>
      <c r="N206" s="432"/>
      <c r="O206" s="304" t="s">
        <v>89</v>
      </c>
    </row>
    <row r="207" spans="3:15" x14ac:dyDescent="0.25">
      <c r="C207" s="1158" t="s">
        <v>623</v>
      </c>
      <c r="D207" s="1159"/>
      <c r="E207" s="155" t="s">
        <v>89</v>
      </c>
      <c r="F207" s="424"/>
      <c r="G207" s="425"/>
      <c r="H207" s="435"/>
      <c r="I207" s="425"/>
      <c r="J207" s="1160" t="str">
        <f>IF(MAX(L208:L210)=L209,"Down",IF(MAX(L208:L210)=L208,"Up","Mass"))</f>
        <v>Down</v>
      </c>
      <c r="K207" s="1161"/>
      <c r="L207" s="1162"/>
      <c r="M207" s="435"/>
      <c r="N207" s="425"/>
      <c r="O207" s="304" t="s">
        <v>89</v>
      </c>
    </row>
    <row r="208" spans="3:15" x14ac:dyDescent="0.25">
      <c r="C208" s="1176" t="s">
        <v>624</v>
      </c>
      <c r="D208" s="1159"/>
      <c r="E208" s="155" t="s">
        <v>89</v>
      </c>
      <c r="F208" s="566" t="s">
        <v>521</v>
      </c>
      <c r="G208" s="568" t="s">
        <v>521</v>
      </c>
      <c r="H208" s="567" t="s">
        <v>521</v>
      </c>
      <c r="I208" s="568" t="s">
        <v>521</v>
      </c>
      <c r="J208" s="465">
        <f>IF(AND(F208&lt;&gt;"-",G208&lt;&gt;"-",H208&lt;&gt;"-",I208&lt;&gt;"-"),MAX((SUM(F208)-SUM(G208))-(SUM(H208)-SUM(I208)),0),0)</f>
        <v>0</v>
      </c>
      <c r="K208" s="444">
        <f>SUM(L208)-SUM(J208)</f>
        <v>0</v>
      </c>
      <c r="L208" s="447">
        <f>IF(AND(F208&lt;&gt;"-",G208&lt;&gt;"-",M208&lt;&gt;"-",N208&lt;&gt;"-"),MAX((SUM(F208)-SUM(G208))-(SUM(M208)-SUM(N208)),0),0)</f>
        <v>0</v>
      </c>
      <c r="M208" s="567" t="s">
        <v>521</v>
      </c>
      <c r="N208" s="568" t="s">
        <v>521</v>
      </c>
      <c r="O208" s="304" t="s">
        <v>89</v>
      </c>
    </row>
    <row r="209" spans="1:21" x14ac:dyDescent="0.25">
      <c r="C209" s="1176" t="s">
        <v>625</v>
      </c>
      <c r="D209" s="1159"/>
      <c r="E209" s="155" t="s">
        <v>89</v>
      </c>
      <c r="F209" s="566" t="s">
        <v>521</v>
      </c>
      <c r="G209" s="568" t="s">
        <v>521</v>
      </c>
      <c r="H209" s="567" t="s">
        <v>521</v>
      </c>
      <c r="I209" s="568" t="s">
        <v>521</v>
      </c>
      <c r="J209" s="465">
        <f>IF(AND(F209&lt;&gt;"-",G209&lt;&gt;"-",H209&lt;&gt;"-",I209&lt;&gt;"-"),MAX((SUM(F209)-SUM(G209))-(SUM(H209)-SUM(I209)),0),0)</f>
        <v>0</v>
      </c>
      <c r="K209" s="444">
        <f>SUM(L209)-SUM(J209)</f>
        <v>0</v>
      </c>
      <c r="L209" s="447">
        <f>IF(AND(F209&lt;&gt;"-",G209&lt;&gt;"-",M209&lt;&gt;"-",N209&lt;&gt;"-"),MAX((SUM(F209)-SUM(G209))-(SUM(M209)-SUM(N209)),0),0)</f>
        <v>0</v>
      </c>
      <c r="M209" s="567" t="s">
        <v>521</v>
      </c>
      <c r="N209" s="568" t="s">
        <v>521</v>
      </c>
      <c r="O209" s="304" t="s">
        <v>89</v>
      </c>
    </row>
    <row r="210" spans="1:21" x14ac:dyDescent="0.25">
      <c r="C210" s="1177" t="s">
        <v>626</v>
      </c>
      <c r="D210" s="1178"/>
      <c r="E210" s="161" t="s">
        <v>89</v>
      </c>
      <c r="F210" s="569" t="s">
        <v>521</v>
      </c>
      <c r="G210" s="571" t="s">
        <v>521</v>
      </c>
      <c r="H210" s="570" t="s">
        <v>521</v>
      </c>
      <c r="I210" s="571" t="s">
        <v>521</v>
      </c>
      <c r="J210" s="473">
        <f>IF(AND(F210&lt;&gt;"-",G210&lt;&gt;"-",H210&lt;&gt;"-",I210&lt;&gt;"-"),MAX((SUM(F210)-SUM(G210))-(SUM(H210)-SUM(I210)),0),0)</f>
        <v>0</v>
      </c>
      <c r="K210" s="456">
        <f>SUM(L210)-SUM(J210)</f>
        <v>0</v>
      </c>
      <c r="L210" s="479">
        <f>IF(AND(F210&lt;&gt;"-",G210&lt;&gt;"-",M210&lt;&gt;"-",N210&lt;&gt;"-"),MAX((SUM(F210)-SUM(G210))-(SUM(M210)-SUM(N210)),0),0)</f>
        <v>0</v>
      </c>
      <c r="M210" s="570" t="s">
        <v>521</v>
      </c>
      <c r="N210" s="571" t="s">
        <v>521</v>
      </c>
      <c r="O210" s="304" t="s">
        <v>89</v>
      </c>
    </row>
    <row r="211" spans="1:21" x14ac:dyDescent="0.25">
      <c r="C211" s="1158" t="s">
        <v>147</v>
      </c>
      <c r="D211" s="1159"/>
      <c r="E211" s="155" t="s">
        <v>89</v>
      </c>
      <c r="F211" s="515" t="s">
        <v>521</v>
      </c>
      <c r="G211" s="524" t="s">
        <v>521</v>
      </c>
      <c r="H211" s="523" t="s">
        <v>521</v>
      </c>
      <c r="I211" s="524" t="s">
        <v>521</v>
      </c>
      <c r="J211" s="465">
        <f t="shared" si="10"/>
        <v>0</v>
      </c>
      <c r="K211" s="444">
        <f t="shared" si="11"/>
        <v>0</v>
      </c>
      <c r="L211" s="447">
        <f t="shared" si="12"/>
        <v>0</v>
      </c>
      <c r="M211" s="523" t="s">
        <v>521</v>
      </c>
      <c r="N211" s="524" t="s">
        <v>521</v>
      </c>
      <c r="O211" s="304" t="s">
        <v>89</v>
      </c>
    </row>
    <row r="212" spans="1:21" x14ac:dyDescent="0.25">
      <c r="C212" s="1184" t="s">
        <v>65</v>
      </c>
      <c r="D212" s="1178"/>
      <c r="E212" s="161" t="s">
        <v>89</v>
      </c>
      <c r="F212" s="525" t="s">
        <v>521</v>
      </c>
      <c r="G212" s="527" t="s">
        <v>521</v>
      </c>
      <c r="H212" s="526" t="s">
        <v>521</v>
      </c>
      <c r="I212" s="527" t="s">
        <v>521</v>
      </c>
      <c r="J212" s="473">
        <f t="shared" si="10"/>
        <v>0</v>
      </c>
      <c r="K212" s="456">
        <f t="shared" si="11"/>
        <v>0</v>
      </c>
      <c r="L212" s="479">
        <f t="shared" si="12"/>
        <v>0</v>
      </c>
      <c r="M212" s="526" t="s">
        <v>521</v>
      </c>
      <c r="N212" s="527" t="s">
        <v>521</v>
      </c>
      <c r="O212" s="304" t="s">
        <v>89</v>
      </c>
    </row>
    <row r="213" spans="1:21" x14ac:dyDescent="0.25">
      <c r="C213" s="4"/>
      <c r="D213" s="4"/>
      <c r="E213" s="4"/>
      <c r="F213" s="4"/>
      <c r="O213" s="304" t="s">
        <v>89</v>
      </c>
    </row>
    <row r="214" spans="1:21" x14ac:dyDescent="0.25">
      <c r="C214" s="4"/>
      <c r="D214" s="4"/>
      <c r="E214" s="4"/>
      <c r="F214" s="4"/>
      <c r="O214" s="304" t="s">
        <v>89</v>
      </c>
    </row>
    <row r="215" spans="1:21" x14ac:dyDescent="0.25">
      <c r="C215" s="1149" t="s">
        <v>1096</v>
      </c>
      <c r="D215" s="1150"/>
      <c r="E215" s="4"/>
      <c r="F215" s="4"/>
      <c r="O215" s="304" t="s">
        <v>89</v>
      </c>
    </row>
    <row r="216" spans="1:21" x14ac:dyDescent="0.25">
      <c r="A216" s="134" t="s">
        <v>1095</v>
      </c>
      <c r="B216" s="135" t="str">
        <f>HYPERLINK(_TS_&amp;"#"&amp;SUBSTITUTE(A216,".","_"),"Open")</f>
        <v>Open</v>
      </c>
      <c r="C216" s="790" t="s">
        <v>615</v>
      </c>
      <c r="D216" s="443">
        <f>3*SUM(D217)*SUM(D218)</f>
        <v>0</v>
      </c>
      <c r="E216" s="4"/>
      <c r="F216" s="4"/>
      <c r="O216" s="304" t="s">
        <v>89</v>
      </c>
    </row>
    <row r="217" spans="1:21" x14ac:dyDescent="0.25">
      <c r="C217" s="791" t="s">
        <v>842</v>
      </c>
      <c r="D217" s="444">
        <f>SUM(K222:K225)</f>
        <v>0</v>
      </c>
      <c r="E217" s="4"/>
      <c r="F217" s="4"/>
      <c r="O217" s="304" t="s">
        <v>89</v>
      </c>
    </row>
    <row r="218" spans="1:21" x14ac:dyDescent="0.25">
      <c r="C218" s="792" t="s">
        <v>843</v>
      </c>
      <c r="D218" s="360">
        <f>IF(AND(D217,D220),D220/D217,0)</f>
        <v>0</v>
      </c>
      <c r="E218" s="4"/>
      <c r="F218" s="4"/>
      <c r="O218" s="304" t="s">
        <v>89</v>
      </c>
    </row>
    <row r="219" spans="1:21" x14ac:dyDescent="0.25">
      <c r="C219" s="4"/>
      <c r="D219" s="4"/>
      <c r="E219" s="4"/>
      <c r="F219" s="4"/>
      <c r="O219" s="304" t="s">
        <v>89</v>
      </c>
    </row>
    <row r="220" spans="1:21" ht="15.75" thickBot="1" x14ac:dyDescent="0.3">
      <c r="C220" s="793" t="s">
        <v>1023</v>
      </c>
      <c r="D220" s="451">
        <f>SQRT(SUMPRODUCT(D222:D225,MMULT($R$222:$U$225,D222:D225*1)))</f>
        <v>0</v>
      </c>
      <c r="E220" s="4"/>
      <c r="F220" s="735" t="s">
        <v>853</v>
      </c>
      <c r="G220" s="692"/>
      <c r="H220" s="692"/>
      <c r="I220" s="692"/>
      <c r="J220" s="691"/>
      <c r="K220" s="735" t="s">
        <v>842</v>
      </c>
      <c r="L220" s="692"/>
      <c r="M220" s="692"/>
      <c r="N220" s="691"/>
      <c r="O220" s="304" t="s">
        <v>89</v>
      </c>
    </row>
    <row r="221" spans="1:21" ht="37.5" thickBot="1" x14ac:dyDescent="0.3">
      <c r="C221" s="794" t="s">
        <v>844</v>
      </c>
      <c r="D221" s="795" t="s">
        <v>1017</v>
      </c>
      <c r="E221" s="157" t="s">
        <v>89</v>
      </c>
      <c r="F221" s="796" t="s">
        <v>1109</v>
      </c>
      <c r="G221" s="797" t="s">
        <v>1022</v>
      </c>
      <c r="H221" s="797" t="s">
        <v>1021</v>
      </c>
      <c r="I221" s="797" t="s">
        <v>852</v>
      </c>
      <c r="J221" s="797" t="s">
        <v>851</v>
      </c>
      <c r="K221" s="796" t="s">
        <v>1015</v>
      </c>
      <c r="L221" s="797" t="s">
        <v>850</v>
      </c>
      <c r="M221" s="797" t="s">
        <v>1110</v>
      </c>
      <c r="N221" s="797" t="s">
        <v>1111</v>
      </c>
      <c r="O221" s="304" t="s">
        <v>89</v>
      </c>
      <c r="P221" s="213" t="s">
        <v>730</v>
      </c>
      <c r="Q221" s="214" t="s">
        <v>1013</v>
      </c>
      <c r="R221" s="215">
        <v>1</v>
      </c>
      <c r="S221" s="215">
        <v>2</v>
      </c>
      <c r="T221" s="215">
        <v>3</v>
      </c>
      <c r="U221" s="215">
        <v>4</v>
      </c>
    </row>
    <row r="222" spans="1:21" ht="15.75" thickBot="1" x14ac:dyDescent="0.3">
      <c r="B222" s="59"/>
      <c r="C222" s="679" t="s">
        <v>1092</v>
      </c>
      <c r="D222" s="450">
        <f>SUM(K222)*SUM(F222)</f>
        <v>0</v>
      </c>
      <c r="E222" s="155" t="s">
        <v>89</v>
      </c>
      <c r="F222" s="357">
        <f>IF(SUM(M222:N222),SQRT(H222^2+H222*G222+G222^2)/SUM(M222:N222),0)</f>
        <v>0</v>
      </c>
      <c r="G222" s="450">
        <f>SUM(M222)*SUM(I222)</f>
        <v>0</v>
      </c>
      <c r="H222" s="385">
        <f>'Shared-2013'!H137</f>
        <v>0</v>
      </c>
      <c r="I222" s="405">
        <v>0.05</v>
      </c>
      <c r="J222" s="390">
        <f>'Shared-2013'!D137</f>
        <v>0.05</v>
      </c>
      <c r="K222" s="450">
        <f>SUM(M222:N222)*(75%+25%*IF(L222="-",1,SUM(L222)))</f>
        <v>0</v>
      </c>
      <c r="L222" s="355" t="s">
        <v>521</v>
      </c>
      <c r="M222" s="528" t="s">
        <v>521</v>
      </c>
      <c r="N222" s="385">
        <f>SUM('Shared-2013'!D131)</f>
        <v>0</v>
      </c>
      <c r="O222" s="304" t="s">
        <v>89</v>
      </c>
      <c r="P222" s="134" t="s">
        <v>1093</v>
      </c>
      <c r="Q222" s="217" t="s">
        <v>1092</v>
      </c>
      <c r="R222" s="218">
        <v>1</v>
      </c>
      <c r="S222" s="219">
        <f>R223</f>
        <v>0.5</v>
      </c>
      <c r="T222" s="219">
        <f>R224</f>
        <v>0.5</v>
      </c>
      <c r="U222" s="219">
        <f>R225</f>
        <v>0.5</v>
      </c>
    </row>
    <row r="223" spans="1:21" ht="15.75" thickBot="1" x14ac:dyDescent="0.3">
      <c r="B223" s="59"/>
      <c r="C223" s="680" t="s">
        <v>1090</v>
      </c>
      <c r="D223" s="449">
        <f>SUM(K223)*SUM(F223)</f>
        <v>0</v>
      </c>
      <c r="E223" s="155" t="s">
        <v>89</v>
      </c>
      <c r="F223" s="358">
        <f>IF(SUM(M223:N223),SQRT(H223^2+H223*G223+G223^2)/SUM(M223:N223),0)</f>
        <v>0</v>
      </c>
      <c r="G223" s="449">
        <f>SUM(M223)*SUM(I223)</f>
        <v>0</v>
      </c>
      <c r="H223" s="392">
        <f>'Shared-2013'!H138</f>
        <v>0</v>
      </c>
      <c r="I223" s="406">
        <v>0.14000000000000001</v>
      </c>
      <c r="J223" s="391">
        <f>'Shared-2013'!D138</f>
        <v>0.09</v>
      </c>
      <c r="K223" s="449">
        <f>SUM(M223:N223)*(75%+25%*IF(L223="-",1,SUM(L223)))</f>
        <v>0</v>
      </c>
      <c r="L223" s="356" t="s">
        <v>521</v>
      </c>
      <c r="M223" s="514" t="s">
        <v>521</v>
      </c>
      <c r="N223" s="392">
        <f>SUM('Shared-2013'!D132)</f>
        <v>0</v>
      </c>
      <c r="O223" s="304" t="s">
        <v>89</v>
      </c>
      <c r="P223" s="135" t="str">
        <f>HYPERLINK(_TS_&amp;"#"&amp;SUBSTITUTE(P222,".","_"),"Open")</f>
        <v>Open</v>
      </c>
      <c r="Q223" s="217" t="s">
        <v>1090</v>
      </c>
      <c r="R223" s="222">
        <v>0.5</v>
      </c>
      <c r="S223" s="223">
        <v>1</v>
      </c>
      <c r="T223" s="224">
        <f>S224</f>
        <v>0.5</v>
      </c>
      <c r="U223" s="224">
        <f>S225</f>
        <v>0.5</v>
      </c>
    </row>
    <row r="224" spans="1:21" ht="15.75" thickBot="1" x14ac:dyDescent="0.3">
      <c r="B224" s="59"/>
      <c r="C224" s="680" t="s">
        <v>1091</v>
      </c>
      <c r="D224" s="449">
        <f>SUM(K224)*SUM(F224)</f>
        <v>0</v>
      </c>
      <c r="E224" s="155" t="s">
        <v>89</v>
      </c>
      <c r="F224" s="358">
        <f>IF(SUM(M224:N224),SQRT(H224^2+H224*G224+G224^2)/SUM(M224:N224),0)</f>
        <v>0</v>
      </c>
      <c r="G224" s="449">
        <f>SUM(M224)*SUM(I224)</f>
        <v>0</v>
      </c>
      <c r="H224" s="392">
        <f>'Shared-2013'!H139</f>
        <v>0</v>
      </c>
      <c r="I224" s="406">
        <v>0.11</v>
      </c>
      <c r="J224" s="391">
        <f>'Shared-2013'!D139</f>
        <v>0.08</v>
      </c>
      <c r="K224" s="449">
        <f>SUM(M224:N224)*(75%+25%*IF(L224="-",1,SUM(L224)))</f>
        <v>0</v>
      </c>
      <c r="L224" s="356" t="s">
        <v>521</v>
      </c>
      <c r="M224" s="514" t="s">
        <v>521</v>
      </c>
      <c r="N224" s="392">
        <f>SUM('Shared-2013'!D133)</f>
        <v>0</v>
      </c>
      <c r="O224" s="304" t="s">
        <v>89</v>
      </c>
      <c r="Q224" s="217" t="s">
        <v>1091</v>
      </c>
      <c r="R224" s="222">
        <v>0.5</v>
      </c>
      <c r="S224" s="223">
        <v>0.5</v>
      </c>
      <c r="T224" s="223">
        <v>1</v>
      </c>
      <c r="U224" s="224">
        <f>T225</f>
        <v>0.5</v>
      </c>
    </row>
    <row r="225" spans="1:29" ht="15.75" thickBot="1" x14ac:dyDescent="0.3">
      <c r="B225" s="59"/>
      <c r="C225" s="681" t="s">
        <v>1088</v>
      </c>
      <c r="D225" s="441">
        <f>SUM(K225)*SUM(F225)</f>
        <v>0</v>
      </c>
      <c r="E225" s="161" t="s">
        <v>89</v>
      </c>
      <c r="F225" s="359">
        <f>IF(SUM(M225:N225),SQRT(H225^2+H225*G225+G225^2)/SUM(M225:N225),0)</f>
        <v>0</v>
      </c>
      <c r="G225" s="441">
        <f>SUM(M225)*SUM(I225)</f>
        <v>0</v>
      </c>
      <c r="H225" s="394">
        <f>'Shared-2013'!H140</f>
        <v>0</v>
      </c>
      <c r="I225" s="407">
        <v>0.2</v>
      </c>
      <c r="J225" s="393">
        <f>'Shared-2013'!D140</f>
        <v>0.17</v>
      </c>
      <c r="K225" s="441">
        <f>SUM(M225:N225)*(75%+25%*IF(L225="-",1,SUM(L225)))</f>
        <v>0</v>
      </c>
      <c r="L225" s="362" t="s">
        <v>521</v>
      </c>
      <c r="M225" s="519" t="s">
        <v>521</v>
      </c>
      <c r="N225" s="394">
        <f>SUM('Shared-2013'!D134)</f>
        <v>0</v>
      </c>
      <c r="O225" s="304" t="s">
        <v>89</v>
      </c>
      <c r="Q225" s="217" t="s">
        <v>1088</v>
      </c>
      <c r="R225" s="222">
        <v>0.5</v>
      </c>
      <c r="S225" s="223">
        <v>0.5</v>
      </c>
      <c r="T225" s="223">
        <v>0.5</v>
      </c>
      <c r="U225" s="223">
        <v>1</v>
      </c>
    </row>
    <row r="226" spans="1:29" x14ac:dyDescent="0.25">
      <c r="C226" s="4"/>
      <c r="D226" s="4"/>
      <c r="E226" s="4"/>
      <c r="F226" s="4"/>
      <c r="O226" s="304" t="s">
        <v>89</v>
      </c>
    </row>
    <row r="227" spans="1:29" x14ac:dyDescent="0.25">
      <c r="C227" s="4"/>
      <c r="D227" s="4"/>
      <c r="E227" s="4"/>
      <c r="F227" s="782" t="s">
        <v>735</v>
      </c>
      <c r="G227" s="691"/>
      <c r="H227" s="782" t="s">
        <v>999</v>
      </c>
      <c r="I227" s="691"/>
      <c r="O227" s="304" t="s">
        <v>89</v>
      </c>
    </row>
    <row r="228" spans="1:29" x14ac:dyDescent="0.25">
      <c r="C228" s="4"/>
      <c r="D228" s="4"/>
      <c r="E228" s="4"/>
      <c r="F228" s="695" t="s">
        <v>0</v>
      </c>
      <c r="G228" s="695" t="s">
        <v>20</v>
      </c>
      <c r="H228" s="789" t="s">
        <v>0</v>
      </c>
      <c r="I228" s="695" t="s">
        <v>20</v>
      </c>
      <c r="O228" s="304" t="s">
        <v>89</v>
      </c>
    </row>
    <row r="229" spans="1:29" x14ac:dyDescent="0.25">
      <c r="C229" s="798" t="s">
        <v>1097</v>
      </c>
      <c r="D229" s="448">
        <f>IF(AND(F229&lt;&gt;"-",G229&lt;&gt;"-",H229&lt;&gt;"-",I229&lt;&gt;"-"),MAX((SUM(F229)-SUM(G229))-(SUM(H229)-SUM(I229)),0),0)</f>
        <v>0</v>
      </c>
      <c r="E229" s="206" t="s">
        <v>89</v>
      </c>
      <c r="F229" s="529" t="s">
        <v>521</v>
      </c>
      <c r="G229" s="517" t="s">
        <v>521</v>
      </c>
      <c r="H229" s="933" t="s">
        <v>521</v>
      </c>
      <c r="I229" s="935" t="s">
        <v>521</v>
      </c>
      <c r="O229" s="304" t="s">
        <v>89</v>
      </c>
    </row>
    <row r="230" spans="1:29" x14ac:dyDescent="0.25">
      <c r="C230" s="4"/>
      <c r="D230" s="4"/>
      <c r="E230" s="4"/>
      <c r="F230" s="4"/>
      <c r="O230" s="304" t="s">
        <v>89</v>
      </c>
    </row>
    <row r="231" spans="1:29" x14ac:dyDescent="0.25">
      <c r="C231" s="1043" t="s">
        <v>1047</v>
      </c>
      <c r="D231" s="1111" t="str">
        <f>$D$63</f>
        <v>VB és TM</v>
      </c>
      <c r="E231" s="4"/>
      <c r="F231" s="4"/>
      <c r="O231" s="304" t="s">
        <v>89</v>
      </c>
    </row>
    <row r="232" spans="1:29" x14ac:dyDescent="0.25">
      <c r="C232" s="1045"/>
      <c r="D232" s="1112"/>
      <c r="E232" s="4"/>
      <c r="F232" s="4"/>
      <c r="O232" s="304" t="s">
        <v>89</v>
      </c>
    </row>
    <row r="233" spans="1:29" x14ac:dyDescent="0.25">
      <c r="C233" s="4"/>
      <c r="D233" s="4"/>
      <c r="E233" s="4"/>
      <c r="F233" s="4"/>
      <c r="O233" s="304" t="s">
        <v>89</v>
      </c>
    </row>
    <row r="234" spans="1:29" x14ac:dyDescent="0.25">
      <c r="A234" s="134" t="s">
        <v>841</v>
      </c>
      <c r="B234" s="135" t="str">
        <f>HYPERLINK(_TS_&amp;"#"&amp;SUBSTITUTE(A234,".","_"),"Open")</f>
        <v>Open</v>
      </c>
      <c r="C234" s="790" t="s">
        <v>615</v>
      </c>
      <c r="D234" s="443">
        <f>3*SUM(D235)*SUM(D236)</f>
        <v>0</v>
      </c>
      <c r="E234" s="4"/>
      <c r="F234" s="4"/>
      <c r="O234" s="304" t="s">
        <v>89</v>
      </c>
    </row>
    <row r="235" spans="1:29" x14ac:dyDescent="0.25">
      <c r="C235" s="791" t="s">
        <v>842</v>
      </c>
      <c r="D235" s="444">
        <f>SUM(K240:K251)</f>
        <v>0</v>
      </c>
      <c r="E235" s="4"/>
      <c r="F235" s="4"/>
      <c r="O235" s="304" t="s">
        <v>89</v>
      </c>
    </row>
    <row r="236" spans="1:29" x14ac:dyDescent="0.25">
      <c r="C236" s="792" t="s">
        <v>843</v>
      </c>
      <c r="D236" s="360">
        <f>IF(AND(D235,D238),D238/D235,0)</f>
        <v>0</v>
      </c>
      <c r="E236" s="4"/>
      <c r="F236" s="4"/>
      <c r="O236" s="304" t="s">
        <v>89</v>
      </c>
    </row>
    <row r="237" spans="1:29" ht="7.5" customHeight="1" x14ac:dyDescent="0.25">
      <c r="C237" s="4"/>
      <c r="D237" s="4"/>
      <c r="E237" s="4"/>
      <c r="F237" s="4"/>
      <c r="O237" s="304" t="s">
        <v>89</v>
      </c>
    </row>
    <row r="238" spans="1:29" ht="15.75" thickBot="1" x14ac:dyDescent="0.3">
      <c r="C238" s="793" t="s">
        <v>1023</v>
      </c>
      <c r="D238" s="451">
        <f>SQRT(SUMPRODUCT(D240:D251,MMULT($R$240:$AC$251,D240:D251*1)))</f>
        <v>0</v>
      </c>
      <c r="E238" s="4"/>
      <c r="F238" s="735" t="s">
        <v>853</v>
      </c>
      <c r="G238" s="692"/>
      <c r="H238" s="692"/>
      <c r="I238" s="692"/>
      <c r="J238" s="691"/>
      <c r="K238" s="735" t="s">
        <v>842</v>
      </c>
      <c r="L238" s="692"/>
      <c r="M238" s="692"/>
      <c r="N238" s="691"/>
      <c r="O238" s="304" t="s">
        <v>89</v>
      </c>
    </row>
    <row r="239" spans="1:29" ht="37.5" thickBot="1" x14ac:dyDescent="0.3">
      <c r="C239" s="794" t="s">
        <v>844</v>
      </c>
      <c r="D239" s="795" t="s">
        <v>1017</v>
      </c>
      <c r="E239" s="157" t="s">
        <v>89</v>
      </c>
      <c r="F239" s="796" t="s">
        <v>1018</v>
      </c>
      <c r="G239" s="677" t="s">
        <v>1022</v>
      </c>
      <c r="H239" s="677" t="s">
        <v>1021</v>
      </c>
      <c r="I239" s="677" t="s">
        <v>852</v>
      </c>
      <c r="J239" s="677" t="s">
        <v>851</v>
      </c>
      <c r="K239" s="796" t="s">
        <v>1015</v>
      </c>
      <c r="L239" s="677" t="s">
        <v>850</v>
      </c>
      <c r="M239" s="797" t="s">
        <v>1016</v>
      </c>
      <c r="N239" s="677" t="s">
        <v>849</v>
      </c>
      <c r="O239" s="304" t="s">
        <v>89</v>
      </c>
      <c r="P239" s="213" t="s">
        <v>730</v>
      </c>
      <c r="Q239" s="214" t="s">
        <v>1013</v>
      </c>
      <c r="R239" s="215">
        <v>1</v>
      </c>
      <c r="S239" s="215">
        <v>2</v>
      </c>
      <c r="T239" s="215">
        <v>3</v>
      </c>
      <c r="U239" s="215">
        <v>4</v>
      </c>
      <c r="V239" s="215">
        <v>5</v>
      </c>
      <c r="W239" s="215">
        <v>6</v>
      </c>
      <c r="X239" s="215">
        <v>7</v>
      </c>
      <c r="Y239" s="215">
        <v>8</v>
      </c>
      <c r="Z239" s="215">
        <v>9</v>
      </c>
      <c r="AA239" s="215">
        <v>10</v>
      </c>
      <c r="AB239" s="215">
        <v>11</v>
      </c>
      <c r="AC239" s="215">
        <v>12</v>
      </c>
    </row>
    <row r="240" spans="1:29" ht="15.75" thickBot="1" x14ac:dyDescent="0.3">
      <c r="B240" s="59">
        <v>1</v>
      </c>
      <c r="C240" s="679" t="s">
        <v>855</v>
      </c>
      <c r="D240" s="450">
        <f t="shared" ref="D240:D251" si="13">SUM(K240)*SUM(F240)</f>
        <v>0</v>
      </c>
      <c r="E240" s="155" t="s">
        <v>89</v>
      </c>
      <c r="F240" s="357">
        <f t="shared" ref="F240:F251" si="14">IF(SUM(M240:N240),SQRT(H240^2+H240*G240+G240^2)/SUM(M240:N240),0)</f>
        <v>0</v>
      </c>
      <c r="G240" s="450">
        <f t="shared" ref="G240:G251" si="15">SUM(M240)*SUM(I240)</f>
        <v>0</v>
      </c>
      <c r="H240" s="385">
        <f>'Shared-2013'!H115</f>
        <v>0</v>
      </c>
      <c r="I240" s="405">
        <v>0.09</v>
      </c>
      <c r="J240" s="390">
        <f>'Shared-2013'!D115</f>
        <v>0.1</v>
      </c>
      <c r="K240" s="450">
        <f t="shared" ref="K240:K251" si="16">SUM(M240:N240)*(75%+25%*IF(L240="-",1,SUM(L240)))</f>
        <v>0</v>
      </c>
      <c r="L240" s="355" t="s">
        <v>521</v>
      </c>
      <c r="M240" s="528" t="s">
        <v>521</v>
      </c>
      <c r="N240" s="385">
        <f>SUM('Shared-2013'!D101)</f>
        <v>0</v>
      </c>
      <c r="O240" s="304" t="s">
        <v>89</v>
      </c>
      <c r="P240" s="134" t="s">
        <v>1012</v>
      </c>
      <c r="Q240" s="217" t="s">
        <v>864</v>
      </c>
      <c r="R240" s="218">
        <v>1</v>
      </c>
      <c r="S240" s="219">
        <f>R241</f>
        <v>0.5</v>
      </c>
      <c r="T240" s="219">
        <f>R242</f>
        <v>0.5</v>
      </c>
      <c r="U240" s="219">
        <f>R243</f>
        <v>0.25</v>
      </c>
      <c r="V240" s="220">
        <f>R244</f>
        <v>0.5</v>
      </c>
      <c r="W240" s="220">
        <f>R245</f>
        <v>0.25</v>
      </c>
      <c r="X240" s="220">
        <f>R246</f>
        <v>0.5</v>
      </c>
      <c r="Y240" s="220">
        <f>R247</f>
        <v>0.25</v>
      </c>
      <c r="Z240" s="220">
        <f>R248</f>
        <v>0.5</v>
      </c>
      <c r="AA240" s="220">
        <f>R249</f>
        <v>0.25</v>
      </c>
      <c r="AB240" s="220">
        <f>R250</f>
        <v>0.25</v>
      </c>
      <c r="AC240" s="220">
        <f>R251</f>
        <v>0.25</v>
      </c>
    </row>
    <row r="241" spans="2:29" ht="15.75" thickBot="1" x14ac:dyDescent="0.3">
      <c r="B241" s="59">
        <v>2</v>
      </c>
      <c r="C241" s="680" t="s">
        <v>856</v>
      </c>
      <c r="D241" s="449">
        <f t="shared" si="13"/>
        <v>0</v>
      </c>
      <c r="E241" s="155" t="s">
        <v>89</v>
      </c>
      <c r="F241" s="358">
        <f t="shared" si="14"/>
        <v>0</v>
      </c>
      <c r="G241" s="449">
        <f t="shared" si="15"/>
        <v>0</v>
      </c>
      <c r="H241" s="392">
        <f>'Shared-2013'!H116</f>
        <v>0</v>
      </c>
      <c r="I241" s="406">
        <v>0.08</v>
      </c>
      <c r="J241" s="391">
        <f>'Shared-2013'!D116</f>
        <v>0.08</v>
      </c>
      <c r="K241" s="449">
        <f t="shared" si="16"/>
        <v>0</v>
      </c>
      <c r="L241" s="356" t="s">
        <v>521</v>
      </c>
      <c r="M241" s="514" t="s">
        <v>521</v>
      </c>
      <c r="N241" s="392">
        <f>SUM('Shared-2013'!D102)</f>
        <v>0</v>
      </c>
      <c r="O241" s="304" t="s">
        <v>89</v>
      </c>
      <c r="P241" s="135" t="str">
        <f>HYPERLINK(_TS_&amp;"#"&amp;SUBSTITUTE(P240,".","_"),"Open")</f>
        <v>Open</v>
      </c>
      <c r="Q241" s="217" t="s">
        <v>865</v>
      </c>
      <c r="R241" s="222">
        <v>0.5</v>
      </c>
      <c r="S241" s="223">
        <v>1</v>
      </c>
      <c r="T241" s="224">
        <f>S242</f>
        <v>0.25</v>
      </c>
      <c r="U241" s="224">
        <f>S243</f>
        <v>0.25</v>
      </c>
      <c r="V241" s="224">
        <f>S244</f>
        <v>0.25</v>
      </c>
      <c r="W241" s="224">
        <f>S245</f>
        <v>0.25</v>
      </c>
      <c r="X241" s="220">
        <f>S246</f>
        <v>0.5</v>
      </c>
      <c r="Y241" s="220">
        <f>S247</f>
        <v>0.5</v>
      </c>
      <c r="Z241" s="220">
        <f>S248</f>
        <v>0.5</v>
      </c>
      <c r="AA241" s="220">
        <f>S249</f>
        <v>0.25</v>
      </c>
      <c r="AB241" s="220">
        <f>S250</f>
        <v>0.25</v>
      </c>
      <c r="AC241" s="220">
        <f>S251</f>
        <v>0.25</v>
      </c>
    </row>
    <row r="242" spans="2:29" ht="15.75" thickBot="1" x14ac:dyDescent="0.3">
      <c r="B242" s="59">
        <v>3</v>
      </c>
      <c r="C242" s="680" t="s">
        <v>857</v>
      </c>
      <c r="D242" s="449">
        <f t="shared" si="13"/>
        <v>0</v>
      </c>
      <c r="E242" s="155" t="s">
        <v>89</v>
      </c>
      <c r="F242" s="358">
        <f t="shared" si="14"/>
        <v>0</v>
      </c>
      <c r="G242" s="449">
        <f t="shared" si="15"/>
        <v>0</v>
      </c>
      <c r="H242" s="392">
        <f>'Shared-2013'!H117</f>
        <v>0</v>
      </c>
      <c r="I242" s="406">
        <v>0.11</v>
      </c>
      <c r="J242" s="391">
        <f>'Shared-2013'!D117</f>
        <v>0.15</v>
      </c>
      <c r="K242" s="449">
        <f t="shared" si="16"/>
        <v>0</v>
      </c>
      <c r="L242" s="356" t="s">
        <v>521</v>
      </c>
      <c r="M242" s="514" t="s">
        <v>521</v>
      </c>
      <c r="N242" s="392">
        <f>SUM('Shared-2013'!D103)</f>
        <v>0</v>
      </c>
      <c r="O242" s="304" t="s">
        <v>89</v>
      </c>
      <c r="Q242" s="217" t="s">
        <v>866</v>
      </c>
      <c r="R242" s="222">
        <v>0.5</v>
      </c>
      <c r="S242" s="223">
        <v>0.25</v>
      </c>
      <c r="T242" s="223">
        <v>1</v>
      </c>
      <c r="U242" s="224">
        <f>T243</f>
        <v>0.25</v>
      </c>
      <c r="V242" s="224">
        <f>T244</f>
        <v>0.25</v>
      </c>
      <c r="W242" s="224">
        <f>T245</f>
        <v>0.25</v>
      </c>
      <c r="X242" s="220">
        <f>T246</f>
        <v>0.25</v>
      </c>
      <c r="Y242" s="220">
        <f>T247</f>
        <v>0.5</v>
      </c>
      <c r="Z242" s="220">
        <f>T248</f>
        <v>0.5</v>
      </c>
      <c r="AA242" s="220">
        <f>T249</f>
        <v>0.25</v>
      </c>
      <c r="AB242" s="220">
        <f>T250</f>
        <v>0.5</v>
      </c>
      <c r="AC242" s="220">
        <f>T251</f>
        <v>0.25</v>
      </c>
    </row>
    <row r="243" spans="2:29" ht="15.75" thickBot="1" x14ac:dyDescent="0.3">
      <c r="B243" s="59">
        <v>4</v>
      </c>
      <c r="C243" s="680" t="s">
        <v>858</v>
      </c>
      <c r="D243" s="449">
        <f t="shared" si="13"/>
        <v>0</v>
      </c>
      <c r="E243" s="155" t="s">
        <v>89</v>
      </c>
      <c r="F243" s="358">
        <f t="shared" si="14"/>
        <v>0</v>
      </c>
      <c r="G243" s="449">
        <f t="shared" si="15"/>
        <v>0</v>
      </c>
      <c r="H243" s="392">
        <f>'Shared-2013'!H118</f>
        <v>0</v>
      </c>
      <c r="I243" s="406">
        <v>0.1</v>
      </c>
      <c r="J243" s="391">
        <f>'Shared-2013'!D118</f>
        <v>0.08</v>
      </c>
      <c r="K243" s="449">
        <f t="shared" si="16"/>
        <v>0</v>
      </c>
      <c r="L243" s="356" t="s">
        <v>521</v>
      </c>
      <c r="M243" s="514" t="s">
        <v>521</v>
      </c>
      <c r="N243" s="392">
        <f>SUM('Shared-2013'!D104)</f>
        <v>0</v>
      </c>
      <c r="O243" s="304" t="s">
        <v>89</v>
      </c>
      <c r="Q243" s="217" t="s">
        <v>867</v>
      </c>
      <c r="R243" s="222">
        <v>0.25</v>
      </c>
      <c r="S243" s="223">
        <v>0.25</v>
      </c>
      <c r="T243" s="223">
        <v>0.25</v>
      </c>
      <c r="U243" s="223">
        <v>1</v>
      </c>
      <c r="V243" s="224">
        <f>U244</f>
        <v>0.25</v>
      </c>
      <c r="W243" s="224">
        <f>U245</f>
        <v>0.25</v>
      </c>
      <c r="X243" s="220">
        <f>U246</f>
        <v>0.25</v>
      </c>
      <c r="Y243" s="220">
        <f>U247</f>
        <v>0.5</v>
      </c>
      <c r="Z243" s="220">
        <f>U248</f>
        <v>0.5</v>
      </c>
      <c r="AA243" s="220">
        <f>U249</f>
        <v>0.25</v>
      </c>
      <c r="AB243" s="220">
        <f>U250</f>
        <v>0.5</v>
      </c>
      <c r="AC243" s="220">
        <f>U251</f>
        <v>0.5</v>
      </c>
    </row>
    <row r="244" spans="2:29" ht="15.75" thickBot="1" x14ac:dyDescent="0.3">
      <c r="B244" s="59">
        <v>5</v>
      </c>
      <c r="C244" s="680" t="s">
        <v>859</v>
      </c>
      <c r="D244" s="449">
        <f t="shared" si="13"/>
        <v>0</v>
      </c>
      <c r="E244" s="155" t="s">
        <v>89</v>
      </c>
      <c r="F244" s="358">
        <f t="shared" si="14"/>
        <v>0</v>
      </c>
      <c r="G244" s="449">
        <f t="shared" si="15"/>
        <v>0</v>
      </c>
      <c r="H244" s="392">
        <f>'Shared-2013'!H119</f>
        <v>0</v>
      </c>
      <c r="I244" s="406">
        <v>0.11</v>
      </c>
      <c r="J244" s="391">
        <f>'Shared-2013'!D119</f>
        <v>0.14000000000000001</v>
      </c>
      <c r="K244" s="449">
        <f t="shared" si="16"/>
        <v>0</v>
      </c>
      <c r="L244" s="356" t="s">
        <v>521</v>
      </c>
      <c r="M244" s="514" t="s">
        <v>521</v>
      </c>
      <c r="N244" s="392">
        <f>SUM('Shared-2013'!D105)</f>
        <v>0</v>
      </c>
      <c r="O244" s="304" t="s">
        <v>89</v>
      </c>
      <c r="Q244" s="217" t="s">
        <v>868</v>
      </c>
      <c r="R244" s="222">
        <v>0.5</v>
      </c>
      <c r="S244" s="223">
        <v>0.25</v>
      </c>
      <c r="T244" s="223">
        <v>0.25</v>
      </c>
      <c r="U244" s="223">
        <v>0.25</v>
      </c>
      <c r="V244" s="223">
        <v>1</v>
      </c>
      <c r="W244" s="224">
        <f>V245</f>
        <v>0.5</v>
      </c>
      <c r="X244" s="220">
        <f>V246</f>
        <v>0.5</v>
      </c>
      <c r="Y244" s="220">
        <f>V247</f>
        <v>0.25</v>
      </c>
      <c r="Z244" s="220">
        <f>V248</f>
        <v>0.5</v>
      </c>
      <c r="AA244" s="220">
        <f>V249</f>
        <v>0.5</v>
      </c>
      <c r="AB244" s="220">
        <f>V250</f>
        <v>0.25</v>
      </c>
      <c r="AC244" s="220">
        <f>V251</f>
        <v>0.25</v>
      </c>
    </row>
    <row r="245" spans="2:29" ht="15.75" thickBot="1" x14ac:dyDescent="0.3">
      <c r="B245" s="59">
        <v>6</v>
      </c>
      <c r="C245" s="680" t="s">
        <v>860</v>
      </c>
      <c r="D245" s="449">
        <f t="shared" si="13"/>
        <v>0</v>
      </c>
      <c r="E245" s="155" t="s">
        <v>89</v>
      </c>
      <c r="F245" s="358">
        <f t="shared" si="14"/>
        <v>0</v>
      </c>
      <c r="G245" s="449">
        <f t="shared" si="15"/>
        <v>0</v>
      </c>
      <c r="H245" s="392">
        <f>'Shared-2013'!H120</f>
        <v>0</v>
      </c>
      <c r="I245" s="406">
        <v>0.19</v>
      </c>
      <c r="J245" s="391">
        <f>'Shared-2013'!D120</f>
        <v>0.12</v>
      </c>
      <c r="K245" s="449">
        <f t="shared" si="16"/>
        <v>0</v>
      </c>
      <c r="L245" s="403">
        <v>1</v>
      </c>
      <c r="M245" s="514" t="s">
        <v>521</v>
      </c>
      <c r="N245" s="392">
        <f>SUM('Shared-2013'!D106)</f>
        <v>0</v>
      </c>
      <c r="O245" s="304" t="s">
        <v>89</v>
      </c>
      <c r="Q245" s="217" t="s">
        <v>869</v>
      </c>
      <c r="R245" s="222">
        <v>0.25</v>
      </c>
      <c r="S245" s="223">
        <v>0.25</v>
      </c>
      <c r="T245" s="223">
        <v>0.25</v>
      </c>
      <c r="U245" s="223">
        <v>0.25</v>
      </c>
      <c r="V245" s="223">
        <v>0.5</v>
      </c>
      <c r="W245" s="223">
        <v>1</v>
      </c>
      <c r="X245" s="220">
        <f>W246</f>
        <v>0.5</v>
      </c>
      <c r="Y245" s="220">
        <f>W247</f>
        <v>0.25</v>
      </c>
      <c r="Z245" s="220">
        <f>W248</f>
        <v>0.5</v>
      </c>
      <c r="AA245" s="220">
        <f>W249</f>
        <v>0.5</v>
      </c>
      <c r="AB245" s="220">
        <f>W250</f>
        <v>0.25</v>
      </c>
      <c r="AC245" s="220">
        <f>W251</f>
        <v>0.25</v>
      </c>
    </row>
    <row r="246" spans="2:29" ht="15.75" thickBot="1" x14ac:dyDescent="0.3">
      <c r="B246" s="59">
        <v>7</v>
      </c>
      <c r="C246" s="680" t="s">
        <v>861</v>
      </c>
      <c r="D246" s="449">
        <f t="shared" si="13"/>
        <v>0</v>
      </c>
      <c r="E246" s="155" t="s">
        <v>89</v>
      </c>
      <c r="F246" s="358">
        <f t="shared" si="14"/>
        <v>0</v>
      </c>
      <c r="G246" s="449">
        <f t="shared" si="15"/>
        <v>0</v>
      </c>
      <c r="H246" s="392">
        <f>'Shared-2013'!H121</f>
        <v>0</v>
      </c>
      <c r="I246" s="406">
        <v>0.12</v>
      </c>
      <c r="J246" s="391">
        <f>'Shared-2013'!D121</f>
        <v>7.0000000000000007E-2</v>
      </c>
      <c r="K246" s="449">
        <f t="shared" si="16"/>
        <v>0</v>
      </c>
      <c r="L246" s="514" t="s">
        <v>521</v>
      </c>
      <c r="M246" s="514" t="s">
        <v>521</v>
      </c>
      <c r="N246" s="392">
        <f>SUM('Shared-2013'!D107)</f>
        <v>0</v>
      </c>
      <c r="O246" s="304" t="s">
        <v>89</v>
      </c>
      <c r="Q246" s="217" t="s">
        <v>870</v>
      </c>
      <c r="R246" s="222">
        <v>0.5</v>
      </c>
      <c r="S246" s="223">
        <v>0.5</v>
      </c>
      <c r="T246" s="223">
        <v>0.25</v>
      </c>
      <c r="U246" s="223">
        <v>0.25</v>
      </c>
      <c r="V246" s="223">
        <v>0.5</v>
      </c>
      <c r="W246" s="223">
        <v>0.5</v>
      </c>
      <c r="X246" s="223">
        <v>1</v>
      </c>
      <c r="Y246" s="220">
        <f>X247</f>
        <v>0.25</v>
      </c>
      <c r="Z246" s="220">
        <f>X248</f>
        <v>0.5</v>
      </c>
      <c r="AA246" s="220">
        <f>X249</f>
        <v>0.5</v>
      </c>
      <c r="AB246" s="220">
        <f>X250</f>
        <v>0.25</v>
      </c>
      <c r="AC246" s="220">
        <f>X251</f>
        <v>0.25</v>
      </c>
    </row>
    <row r="247" spans="2:29" ht="15.75" thickBot="1" x14ac:dyDescent="0.3">
      <c r="B247" s="59">
        <v>8</v>
      </c>
      <c r="C247" s="680" t="s">
        <v>862</v>
      </c>
      <c r="D247" s="449">
        <f t="shared" si="13"/>
        <v>0</v>
      </c>
      <c r="E247" s="155" t="s">
        <v>89</v>
      </c>
      <c r="F247" s="358">
        <f t="shared" si="14"/>
        <v>0</v>
      </c>
      <c r="G247" s="449">
        <f t="shared" si="15"/>
        <v>0</v>
      </c>
      <c r="H247" s="392">
        <f>'Shared-2013'!H122</f>
        <v>0</v>
      </c>
      <c r="I247" s="406">
        <v>0.2</v>
      </c>
      <c r="J247" s="391">
        <f>'Shared-2013'!D122</f>
        <v>0.09</v>
      </c>
      <c r="K247" s="449">
        <f t="shared" si="16"/>
        <v>0</v>
      </c>
      <c r="L247" s="514" t="s">
        <v>521</v>
      </c>
      <c r="M247" s="514" t="s">
        <v>521</v>
      </c>
      <c r="N247" s="392">
        <f>SUM('Shared-2013'!D108)</f>
        <v>0</v>
      </c>
      <c r="O247" s="304" t="s">
        <v>89</v>
      </c>
      <c r="Q247" s="217" t="s">
        <v>871</v>
      </c>
      <c r="R247" s="222">
        <v>0.25</v>
      </c>
      <c r="S247" s="223">
        <v>0.5</v>
      </c>
      <c r="T247" s="223">
        <v>0.5</v>
      </c>
      <c r="U247" s="223">
        <v>0.5</v>
      </c>
      <c r="V247" s="223">
        <v>0.25</v>
      </c>
      <c r="W247" s="223">
        <v>0.25</v>
      </c>
      <c r="X247" s="223">
        <v>0.25</v>
      </c>
      <c r="Y247" s="223">
        <v>1</v>
      </c>
      <c r="Z247" s="220">
        <f>Y248</f>
        <v>0.5</v>
      </c>
      <c r="AA247" s="220">
        <f>Y249</f>
        <v>0.25</v>
      </c>
      <c r="AB247" s="220">
        <f>Y250</f>
        <v>0.25</v>
      </c>
      <c r="AC247" s="220">
        <f>Y251</f>
        <v>0.5</v>
      </c>
    </row>
    <row r="248" spans="2:29" ht="15.75" thickBot="1" x14ac:dyDescent="0.3">
      <c r="B248" s="59">
        <v>9</v>
      </c>
      <c r="C248" s="680" t="s">
        <v>863</v>
      </c>
      <c r="D248" s="449">
        <f t="shared" si="13"/>
        <v>0</v>
      </c>
      <c r="E248" s="155" t="s">
        <v>89</v>
      </c>
      <c r="F248" s="358">
        <f t="shared" si="14"/>
        <v>0</v>
      </c>
      <c r="G248" s="449">
        <f t="shared" si="15"/>
        <v>0</v>
      </c>
      <c r="H248" s="392">
        <f>'Shared-2013'!H123</f>
        <v>0</v>
      </c>
      <c r="I248" s="406">
        <v>0.2</v>
      </c>
      <c r="J248" s="391">
        <f>'Shared-2013'!D123</f>
        <v>0.13</v>
      </c>
      <c r="K248" s="449">
        <f t="shared" si="16"/>
        <v>0</v>
      </c>
      <c r="L248" s="514" t="s">
        <v>521</v>
      </c>
      <c r="M248" s="514" t="s">
        <v>521</v>
      </c>
      <c r="N248" s="392">
        <f>SUM('Shared-2013'!D109)</f>
        <v>0</v>
      </c>
      <c r="O248" s="304" t="s">
        <v>89</v>
      </c>
      <c r="Q248" s="217" t="s">
        <v>872</v>
      </c>
      <c r="R248" s="222">
        <v>0.5</v>
      </c>
      <c r="S248" s="223">
        <v>0.5</v>
      </c>
      <c r="T248" s="223">
        <v>0.5</v>
      </c>
      <c r="U248" s="223">
        <v>0.5</v>
      </c>
      <c r="V248" s="223">
        <v>0.5</v>
      </c>
      <c r="W248" s="223">
        <v>0.5</v>
      </c>
      <c r="X248" s="223">
        <v>0.5</v>
      </c>
      <c r="Y248" s="223">
        <v>0.5</v>
      </c>
      <c r="Z248" s="223">
        <v>1</v>
      </c>
      <c r="AA248" s="220">
        <f>Z249</f>
        <v>0.25</v>
      </c>
      <c r="AB248" s="220">
        <f>Z250</f>
        <v>0.5</v>
      </c>
      <c r="AC248" s="220">
        <f>Z251</f>
        <v>0.25</v>
      </c>
    </row>
    <row r="249" spans="2:29" ht="15.75" thickBot="1" x14ac:dyDescent="0.3">
      <c r="B249" s="59">
        <v>10</v>
      </c>
      <c r="C249" s="680" t="s">
        <v>1006</v>
      </c>
      <c r="D249" s="449">
        <f t="shared" si="13"/>
        <v>0</v>
      </c>
      <c r="E249" s="155" t="s">
        <v>89</v>
      </c>
      <c r="F249" s="358">
        <f t="shared" si="14"/>
        <v>0</v>
      </c>
      <c r="G249" s="449">
        <f t="shared" si="15"/>
        <v>0</v>
      </c>
      <c r="H249" s="392">
        <f>'Shared-2013'!H124</f>
        <v>0</v>
      </c>
      <c r="I249" s="406">
        <v>0.2</v>
      </c>
      <c r="J249" s="391">
        <f>'Shared-2013'!D124</f>
        <v>0.17</v>
      </c>
      <c r="K249" s="449">
        <f t="shared" si="16"/>
        <v>0</v>
      </c>
      <c r="L249" s="403">
        <v>1</v>
      </c>
      <c r="M249" s="514" t="s">
        <v>521</v>
      </c>
      <c r="N249" s="392">
        <f>SUM('Shared-2013'!D110)</f>
        <v>0</v>
      </c>
      <c r="O249" s="304" t="s">
        <v>89</v>
      </c>
      <c r="Q249" s="217" t="s">
        <v>1009</v>
      </c>
      <c r="R249" s="222">
        <v>0.25</v>
      </c>
      <c r="S249" s="223">
        <v>0.25</v>
      </c>
      <c r="T249" s="223">
        <v>0.25</v>
      </c>
      <c r="U249" s="223">
        <v>0.25</v>
      </c>
      <c r="V249" s="223">
        <v>0.5</v>
      </c>
      <c r="W249" s="223">
        <v>0.5</v>
      </c>
      <c r="X249" s="223">
        <v>0.5</v>
      </c>
      <c r="Y249" s="223">
        <v>0.25</v>
      </c>
      <c r="Z249" s="223">
        <v>0.25</v>
      </c>
      <c r="AA249" s="223">
        <v>1</v>
      </c>
      <c r="AB249" s="220">
        <f>AA250</f>
        <v>0.25</v>
      </c>
      <c r="AC249" s="220">
        <f>AA251</f>
        <v>0.25</v>
      </c>
    </row>
    <row r="250" spans="2:29" ht="15.75" thickBot="1" x14ac:dyDescent="0.3">
      <c r="B250" s="59">
        <v>11</v>
      </c>
      <c r="C250" s="680" t="s">
        <v>1007</v>
      </c>
      <c r="D250" s="449">
        <f t="shared" si="13"/>
        <v>0</v>
      </c>
      <c r="E250" s="155" t="s">
        <v>89</v>
      </c>
      <c r="F250" s="358">
        <f t="shared" si="14"/>
        <v>0</v>
      </c>
      <c r="G250" s="449">
        <f t="shared" si="15"/>
        <v>0</v>
      </c>
      <c r="H250" s="392">
        <f>'Shared-2013'!H125</f>
        <v>0</v>
      </c>
      <c r="I250" s="406">
        <v>0.2</v>
      </c>
      <c r="J250" s="391">
        <f>'Shared-2013'!D125</f>
        <v>0.17</v>
      </c>
      <c r="K250" s="449">
        <f t="shared" si="16"/>
        <v>0</v>
      </c>
      <c r="L250" s="403">
        <v>1</v>
      </c>
      <c r="M250" s="514" t="s">
        <v>521</v>
      </c>
      <c r="N250" s="392">
        <f>SUM('Shared-2013'!D111)</f>
        <v>0</v>
      </c>
      <c r="O250" s="304" t="s">
        <v>89</v>
      </c>
      <c r="Q250" s="217" t="s">
        <v>1010</v>
      </c>
      <c r="R250" s="222">
        <v>0.25</v>
      </c>
      <c r="S250" s="223">
        <v>0.25</v>
      </c>
      <c r="T250" s="223">
        <v>0.5</v>
      </c>
      <c r="U250" s="223">
        <v>0.5</v>
      </c>
      <c r="V250" s="223">
        <v>0.25</v>
      </c>
      <c r="W250" s="223">
        <v>0.25</v>
      </c>
      <c r="X250" s="223">
        <v>0.25</v>
      </c>
      <c r="Y250" s="223">
        <v>0.25</v>
      </c>
      <c r="Z250" s="223">
        <v>0.5</v>
      </c>
      <c r="AA250" s="223">
        <v>0.25</v>
      </c>
      <c r="AB250" s="223">
        <v>1</v>
      </c>
      <c r="AC250" s="220">
        <f>AB251</f>
        <v>0.25</v>
      </c>
    </row>
    <row r="251" spans="2:29" ht="15.75" thickBot="1" x14ac:dyDescent="0.3">
      <c r="B251" s="59">
        <v>12</v>
      </c>
      <c r="C251" s="681" t="s">
        <v>1005</v>
      </c>
      <c r="D251" s="441">
        <f t="shared" si="13"/>
        <v>0</v>
      </c>
      <c r="E251" s="161" t="s">
        <v>89</v>
      </c>
      <c r="F251" s="359">
        <f t="shared" si="14"/>
        <v>0</v>
      </c>
      <c r="G251" s="441">
        <f t="shared" si="15"/>
        <v>0</v>
      </c>
      <c r="H251" s="394">
        <f>'Shared-2013'!H126</f>
        <v>0</v>
      </c>
      <c r="I251" s="407">
        <v>0.2</v>
      </c>
      <c r="J251" s="393">
        <f>'Shared-2013'!D126</f>
        <v>0.17</v>
      </c>
      <c r="K251" s="441">
        <f t="shared" si="16"/>
        <v>0</v>
      </c>
      <c r="L251" s="404">
        <v>1</v>
      </c>
      <c r="M251" s="519" t="s">
        <v>521</v>
      </c>
      <c r="N251" s="394">
        <f>SUM('Shared-2013'!D112)</f>
        <v>0</v>
      </c>
      <c r="O251" s="304" t="s">
        <v>89</v>
      </c>
      <c r="Q251" s="217" t="s">
        <v>1011</v>
      </c>
      <c r="R251" s="222">
        <v>0.25</v>
      </c>
      <c r="S251" s="223">
        <v>0.25</v>
      </c>
      <c r="T251" s="223">
        <v>0.25</v>
      </c>
      <c r="U251" s="223">
        <v>0.5</v>
      </c>
      <c r="V251" s="223">
        <v>0.25</v>
      </c>
      <c r="W251" s="223">
        <v>0.25</v>
      </c>
      <c r="X251" s="223">
        <v>0.25</v>
      </c>
      <c r="Y251" s="223">
        <v>0.5</v>
      </c>
      <c r="Z251" s="223">
        <v>0.25</v>
      </c>
      <c r="AA251" s="223">
        <v>0.25</v>
      </c>
      <c r="AB251" s="223">
        <v>0.25</v>
      </c>
      <c r="AC251" s="223">
        <v>1</v>
      </c>
    </row>
    <row r="252" spans="2:29" x14ac:dyDescent="0.25">
      <c r="C252" s="4"/>
      <c r="D252" s="4"/>
      <c r="E252" s="4"/>
      <c r="F252" s="4"/>
      <c r="O252" s="304" t="s">
        <v>89</v>
      </c>
    </row>
    <row r="253" spans="2:29" x14ac:dyDescent="0.25">
      <c r="C253" s="4"/>
      <c r="D253" s="4"/>
      <c r="E253" s="4"/>
      <c r="F253" s="782" t="s">
        <v>735</v>
      </c>
      <c r="G253" s="691"/>
      <c r="H253" s="782" t="s">
        <v>999</v>
      </c>
      <c r="I253" s="691"/>
      <c r="O253" s="304" t="s">
        <v>89</v>
      </c>
    </row>
    <row r="254" spans="2:29" x14ac:dyDescent="0.25">
      <c r="C254" s="4"/>
      <c r="D254" s="4"/>
      <c r="E254" s="4"/>
      <c r="F254" s="695" t="s">
        <v>0</v>
      </c>
      <c r="G254" s="695" t="s">
        <v>20</v>
      </c>
      <c r="H254" s="789" t="s">
        <v>0</v>
      </c>
      <c r="I254" s="695" t="s">
        <v>20</v>
      </c>
      <c r="O254" s="304" t="s">
        <v>89</v>
      </c>
    </row>
    <row r="255" spans="2:29" x14ac:dyDescent="0.25">
      <c r="C255" s="798" t="s">
        <v>1024</v>
      </c>
      <c r="D255" s="448">
        <f>IF(AND(F255&lt;&gt;"-",G255&lt;&gt;"-",H255&lt;&gt;"-",I255&lt;&gt;"-"),MAX((SUM(F255)-SUM(G255))-(SUM(H255)-SUM(I255)),0),0)</f>
        <v>0</v>
      </c>
      <c r="E255" s="206" t="s">
        <v>89</v>
      </c>
      <c r="F255" s="933" t="s">
        <v>521</v>
      </c>
      <c r="G255" s="935" t="s">
        <v>521</v>
      </c>
      <c r="H255" s="516" t="str">
        <f>F255</f>
        <v>-</v>
      </c>
      <c r="I255" s="517" t="s">
        <v>521</v>
      </c>
      <c r="O255" s="304" t="s">
        <v>89</v>
      </c>
    </row>
    <row r="256" spans="2:29" x14ac:dyDescent="0.25">
      <c r="C256" s="4"/>
      <c r="D256" s="4"/>
      <c r="E256" s="4"/>
      <c r="F256" s="4"/>
      <c r="O256" s="304" t="s">
        <v>89</v>
      </c>
    </row>
    <row r="257" spans="1:16" x14ac:dyDescent="0.25">
      <c r="C257" s="4"/>
      <c r="D257" s="4"/>
      <c r="E257" s="4"/>
      <c r="F257" s="4"/>
      <c r="O257" s="304" t="s">
        <v>89</v>
      </c>
    </row>
    <row r="258" spans="1:16" x14ac:dyDescent="0.25">
      <c r="C258" s="4"/>
      <c r="D258" s="4"/>
      <c r="E258" s="4"/>
      <c r="F258" s="4"/>
      <c r="O258" s="304" t="s">
        <v>89</v>
      </c>
    </row>
    <row r="259" spans="1:16" x14ac:dyDescent="0.25">
      <c r="C259" s="1043" t="s">
        <v>1048</v>
      </c>
      <c r="D259" s="1111" t="str">
        <f>$D$63</f>
        <v>VB és TM</v>
      </c>
      <c r="E259" s="4"/>
      <c r="F259" s="4"/>
      <c r="O259" s="304" t="s">
        <v>89</v>
      </c>
    </row>
    <row r="260" spans="1:16" x14ac:dyDescent="0.25">
      <c r="C260" s="1045"/>
      <c r="D260" s="1112"/>
      <c r="E260" s="4"/>
      <c r="F260" s="4"/>
      <c r="O260" s="304" t="s">
        <v>89</v>
      </c>
    </row>
    <row r="261" spans="1:16" x14ac:dyDescent="0.25">
      <c r="A261" s="32"/>
      <c r="B261" s="32"/>
      <c r="C261" s="11"/>
      <c r="D261" s="11"/>
      <c r="E261" s="11"/>
      <c r="F261" s="11"/>
      <c r="G261" s="11"/>
      <c r="H261" s="12"/>
      <c r="I261" s="12"/>
      <c r="K261" s="10"/>
      <c r="L261" s="10"/>
      <c r="N261" s="10"/>
      <c r="O261" s="304" t="s">
        <v>89</v>
      </c>
      <c r="P261" s="402"/>
    </row>
    <row r="262" spans="1:16" x14ac:dyDescent="0.25">
      <c r="A262" s="32"/>
      <c r="B262" s="32"/>
      <c r="C262" s="165" t="s">
        <v>84</v>
      </c>
      <c r="D262" s="212"/>
      <c r="E262" s="11"/>
      <c r="F262" s="11"/>
      <c r="G262" s="11"/>
      <c r="H262" s="12"/>
      <c r="K262" s="32"/>
      <c r="L262" s="32"/>
      <c r="O262" s="304" t="s">
        <v>89</v>
      </c>
    </row>
    <row r="263" spans="1:16" x14ac:dyDescent="0.25">
      <c r="A263" s="7"/>
      <c r="B263" s="7"/>
      <c r="C263" s="799" t="s">
        <v>1036</v>
      </c>
      <c r="D263" s="363">
        <f>IF(_IsComposite,SUM(H273),SUM(F273))</f>
        <v>0</v>
      </c>
      <c r="E263" s="11"/>
      <c r="F263" s="11"/>
      <c r="G263" s="11"/>
      <c r="L263" s="32"/>
      <c r="O263" s="304" t="s">
        <v>89</v>
      </c>
    </row>
    <row r="264" spans="1:16" x14ac:dyDescent="0.25">
      <c r="A264" s="7"/>
      <c r="B264" s="7"/>
      <c r="C264" s="799" t="s">
        <v>1035</v>
      </c>
      <c r="D264" s="363">
        <f>IF(_IsComposite,SUM(H274),SUM(F274))</f>
        <v>0</v>
      </c>
      <c r="E264" s="11"/>
      <c r="F264" s="11"/>
      <c r="G264" s="11"/>
      <c r="L264" s="32"/>
      <c r="O264" s="304" t="s">
        <v>89</v>
      </c>
    </row>
    <row r="265" spans="1:16" x14ac:dyDescent="0.25">
      <c r="D265" s="8"/>
      <c r="E265" s="8"/>
      <c r="G265" s="8"/>
      <c r="H265" s="95"/>
      <c r="I265" s="95"/>
      <c r="O265" s="304" t="s">
        <v>89</v>
      </c>
    </row>
    <row r="266" spans="1:16" ht="22.5" x14ac:dyDescent="0.25">
      <c r="B266" s="238"/>
      <c r="C266" s="800" t="s">
        <v>1027</v>
      </c>
      <c r="D266" s="801"/>
      <c r="E266" s="801"/>
      <c r="F266" s="265" t="s">
        <v>516</v>
      </c>
      <c r="G266" s="265" t="s">
        <v>504</v>
      </c>
      <c r="H266" s="266" t="s">
        <v>656</v>
      </c>
      <c r="I266" s="265" t="s">
        <v>739</v>
      </c>
      <c r="J266" s="265" t="s">
        <v>740</v>
      </c>
      <c r="K266" s="32"/>
      <c r="L266" s="32"/>
      <c r="M266" s="32"/>
      <c r="N266" s="32"/>
      <c r="O266" s="304" t="s">
        <v>89</v>
      </c>
    </row>
    <row r="267" spans="1:16" x14ac:dyDescent="0.25">
      <c r="A267" s="7"/>
      <c r="B267" s="7"/>
      <c r="C267" s="802" t="s">
        <v>1026</v>
      </c>
      <c r="D267" s="803"/>
      <c r="E267" s="803"/>
      <c r="F267" s="364">
        <f>IF(_IsComposite,"-",SUMPRODUCT($R$278:$R$293,(H$278:H$293&gt;0)*1,H$278:H$293)+SUMPRODUCT((I$278:I$293&gt;0)*1,I$278:I$293,'2. VA és TM'!$S$278:$S$293))</f>
        <v>0</v>
      </c>
      <c r="G267" s="364">
        <f>IF(_IsComposite,"-",SUMPRODUCT((H$297:H$300&gt;0)*1,H$297:H$300,$R$297:$R$300)+MAX(I$303,0)*$R$301)</f>
        <v>0</v>
      </c>
      <c r="H267" s="438"/>
      <c r="I267" s="365" t="str">
        <f>IF(_IsComposite,SUMPRODUCT($R$278:$R$293,(H$278:H$293&gt;0)*1,H$278:H$293)+SUMPRODUCT((I$278:I$293&gt;0)*1,I$278:I$293,'2. VA és TM'!$S$278:$S$293)+SUMPRODUCT((K$278:K$293&gt;0)*1,K$278:K$293,$R$278:$R$293)+SUMPRODUCT((L$278:L$293&gt;0)*1,L$278:L$293,'2. VA és TM'!$S$278:$S$293),"-")</f>
        <v>-</v>
      </c>
      <c r="J267" s="365" t="str">
        <f>IF(_IsComposite,SUMPRODUCT((H$297:H$300&gt;0)*1,H$297:H$300,$R$297:$R$300)+MAX(I$303,0)*$R$301+SUMPRODUCT((K$297:K$300&gt;0)*1,K$297:K$300,$R$297:$R$300)+MAX(L$303,0)*$R$301,"-")</f>
        <v>-</v>
      </c>
      <c r="K267" s="32"/>
      <c r="L267" s="32"/>
      <c r="M267" s="32"/>
      <c r="N267" s="32"/>
      <c r="O267" s="304" t="s">
        <v>89</v>
      </c>
    </row>
    <row r="268" spans="1:16" x14ac:dyDescent="0.25">
      <c r="A268" s="7"/>
      <c r="B268" s="7"/>
      <c r="C268" s="804" t="s">
        <v>1033</v>
      </c>
      <c r="D268" s="805"/>
      <c r="E268" s="805"/>
      <c r="F268" s="1113">
        <f>SUM(J28)</f>
        <v>0</v>
      </c>
      <c r="G268" s="1114"/>
      <c r="H268" s="415"/>
      <c r="I268" s="367" t="str">
        <f>IF(_IsComposite,SUM(F268)*IF((I$267+MAX(J$267,0))&gt;0,I$267/(I$267+MAX(J$267,0)),(I$267&lt;&gt;0)*1),"-")</f>
        <v>-</v>
      </c>
      <c r="J268" s="367" t="str">
        <f>IF(_IsComposite,SUM(F268)*IF(AND(I$267+MAX(J$267,0)&gt;0),MAX(J$267,0)/(I$267+MAX(J$267,0)),(J$267&lt;&gt;0)*1),"-")</f>
        <v>-</v>
      </c>
      <c r="K268" s="32"/>
      <c r="L268" s="32"/>
      <c r="M268" s="32"/>
      <c r="N268" s="32"/>
      <c r="O268" s="304" t="s">
        <v>89</v>
      </c>
    </row>
    <row r="269" spans="1:16" ht="17.25" customHeight="1" x14ac:dyDescent="0.25">
      <c r="A269" s="7"/>
      <c r="B269" s="238"/>
      <c r="C269" s="806" t="s">
        <v>1028</v>
      </c>
      <c r="D269" s="807"/>
      <c r="E269" s="807"/>
      <c r="F269" s="1192">
        <f>MIN(MAX(SUM(F$267,G$267),25%*SUM(F268)),45%*SUM(F268))</f>
        <v>0</v>
      </c>
      <c r="G269" s="1112"/>
      <c r="H269" s="415"/>
      <c r="I269" s="441" t="str">
        <f>IF(_IsComposite,MIN(MAX(I$267,25%*SUM(I268)),45%*SUM(I268)),"-")</f>
        <v>-</v>
      </c>
      <c r="J269" s="441" t="str">
        <f>IF(_IsComposite,MIN(MAX(J$267,25%*SUM(J268)),45%*SUM(J268)),"-")</f>
        <v>-</v>
      </c>
      <c r="K269" s="32"/>
      <c r="L269" s="32"/>
      <c r="M269" s="32"/>
      <c r="N269" s="32"/>
      <c r="O269" s="304" t="s">
        <v>89</v>
      </c>
    </row>
    <row r="270" spans="1:16" ht="17.25" customHeight="1" x14ac:dyDescent="0.25">
      <c r="A270" s="7"/>
      <c r="B270" s="238"/>
      <c r="C270" s="804" t="s">
        <v>1034</v>
      </c>
      <c r="D270" s="808"/>
      <c r="E270" s="808"/>
      <c r="F270" s="1113" t="str">
        <f>IF(J32&lt;&gt;"-",SUM(J32),"-")</f>
        <v>-</v>
      </c>
      <c r="G270" s="1114"/>
      <c r="H270" s="415"/>
      <c r="I270" s="367" t="str">
        <f>IF(_IsComposite,SUM(F270)*IF((I$267+MAX(J$267,0))&gt;0,I$267/(I$267+MAX(J$267,0)),(I$267&lt;&gt;0)*1),"-")</f>
        <v>-</v>
      </c>
      <c r="J270" s="367" t="str">
        <f>IF(_IsComposite,SUM(F270)*IF(AND(I$267+MAX(J$267,0)&gt;0),MAX(J$267,0)/(I$267+MAX(J$267,0)),(J$267&lt;&gt;0)*1),"-")</f>
        <v>-</v>
      </c>
      <c r="K270" s="32"/>
      <c r="L270" s="32"/>
      <c r="M270" s="32"/>
      <c r="N270" s="32"/>
      <c r="O270" s="304" t="s">
        <v>89</v>
      </c>
    </row>
    <row r="271" spans="1:16" ht="17.25" customHeight="1" x14ac:dyDescent="0.25">
      <c r="A271" s="7"/>
      <c r="B271" s="238"/>
      <c r="C271" s="806" t="s">
        <v>1029</v>
      </c>
      <c r="D271" s="807"/>
      <c r="E271" s="807"/>
      <c r="F271" s="1192">
        <f>MIN(MAX(SUM(F$267,G$267),25%*SUM(F270)),45%*SUM(F270))</f>
        <v>0</v>
      </c>
      <c r="G271" s="1193">
        <f>MIN(MAX(G$267,25%*G270),45%*G270)</f>
        <v>0</v>
      </c>
      <c r="H271" s="415"/>
      <c r="I271" s="441" t="str">
        <f>IF(_IsComposite,MIN(MAX(I$267,25%*SUM(I270)),45%*SUM(I270)),"-")</f>
        <v>-</v>
      </c>
      <c r="J271" s="441" t="str">
        <f>IF(_IsComposite,MIN(MAX(J$267,25%*SUM(J270)),45%*SUM(J270)),"-")</f>
        <v>-</v>
      </c>
      <c r="K271" s="32"/>
      <c r="L271" s="32"/>
      <c r="M271" s="32"/>
      <c r="N271" s="32"/>
      <c r="O271" s="304" t="s">
        <v>89</v>
      </c>
    </row>
    <row r="272" spans="1:16" ht="15" customHeight="1" x14ac:dyDescent="0.25">
      <c r="A272" s="7"/>
      <c r="B272" s="238"/>
      <c r="C272" s="809" t="s">
        <v>1030</v>
      </c>
      <c r="D272" s="810"/>
      <c r="E272" s="810"/>
      <c r="F272" s="1117" t="s">
        <v>521</v>
      </c>
      <c r="G272" s="1118"/>
      <c r="H272" s="439"/>
      <c r="I272" s="366" t="s">
        <v>521</v>
      </c>
      <c r="J272" s="366" t="s">
        <v>521</v>
      </c>
      <c r="K272" s="32"/>
      <c r="L272" s="32"/>
      <c r="M272" s="32"/>
      <c r="N272" s="32"/>
      <c r="O272" s="304" t="s">
        <v>89</v>
      </c>
    </row>
    <row r="273" spans="1:19" ht="15" customHeight="1" x14ac:dyDescent="0.25">
      <c r="A273" s="7"/>
      <c r="B273" s="238"/>
      <c r="C273" s="806" t="s">
        <v>1031</v>
      </c>
      <c r="D273" s="807"/>
      <c r="E273" s="807"/>
      <c r="F273" s="1160">
        <f>IF(_IsComposite,"-",MAX(F$272,F$269))</f>
        <v>0</v>
      </c>
      <c r="G273" s="1194"/>
      <c r="H273" s="451" t="str">
        <f>IF(_IsComposite,SUM(I273:J273),"-")</f>
        <v>-</v>
      </c>
      <c r="I273" s="451" t="str">
        <f>IF(_IsComposite,MAX(I$272,I$269),"-")</f>
        <v>-</v>
      </c>
      <c r="J273" s="451" t="str">
        <f>IF(_IsComposite,MAX(J$272,J$269),"-")</f>
        <v>-</v>
      </c>
      <c r="K273" s="32"/>
      <c r="L273" s="32"/>
      <c r="M273" s="32"/>
      <c r="N273" s="32"/>
      <c r="O273" s="304" t="s">
        <v>89</v>
      </c>
    </row>
    <row r="274" spans="1:19" ht="15" customHeight="1" x14ac:dyDescent="0.25">
      <c r="A274" s="7"/>
      <c r="B274" s="238"/>
      <c r="C274" s="806" t="s">
        <v>1032</v>
      </c>
      <c r="D274" s="807"/>
      <c r="E274" s="807"/>
      <c r="F274" s="1160">
        <f>IF(_IsComposite,"-",MAX(F$272,F$271))</f>
        <v>0</v>
      </c>
      <c r="G274" s="1194"/>
      <c r="H274" s="451" t="str">
        <f>IF(_IsComposite,SUM(I274:J274),"-")</f>
        <v>-</v>
      </c>
      <c r="I274" s="451" t="str">
        <f>IF(_IsComposite,MAX(I$272,I$271),"-")</f>
        <v>-</v>
      </c>
      <c r="J274" s="451" t="str">
        <f>IF(_IsComposite,MAX(J$272,J$271),"-")</f>
        <v>-</v>
      </c>
      <c r="K274" s="32"/>
      <c r="L274" s="32"/>
      <c r="M274" s="32"/>
      <c r="N274" s="32"/>
      <c r="O274" s="304" t="s">
        <v>89</v>
      </c>
    </row>
    <row r="275" spans="1:19" x14ac:dyDescent="0.25">
      <c r="D275" s="8"/>
      <c r="E275" s="8"/>
      <c r="G275" s="8"/>
      <c r="H275" s="95"/>
      <c r="I275" s="95"/>
      <c r="O275" s="304" t="s">
        <v>89</v>
      </c>
    </row>
    <row r="276" spans="1:19" x14ac:dyDescent="0.25">
      <c r="D276" s="8"/>
      <c r="E276" s="8"/>
      <c r="G276" s="8"/>
      <c r="H276" s="95"/>
      <c r="I276" s="95"/>
      <c r="K276" s="735" t="s">
        <v>1037</v>
      </c>
      <c r="L276" s="691"/>
      <c r="O276" s="304" t="s">
        <v>89</v>
      </c>
    </row>
    <row r="277" spans="1:19" ht="33.75" customHeight="1" x14ac:dyDescent="0.25">
      <c r="C277" s="811" t="s">
        <v>167</v>
      </c>
      <c r="D277" s="801"/>
      <c r="E277" s="801"/>
      <c r="F277" s="801"/>
      <c r="G277" s="812"/>
      <c r="H277" s="408" t="s">
        <v>654</v>
      </c>
      <c r="I277" s="408" t="s">
        <v>655</v>
      </c>
      <c r="K277" s="412" t="s">
        <v>1038</v>
      </c>
      <c r="L277" s="412" t="s">
        <v>655</v>
      </c>
      <c r="O277" s="304" t="s">
        <v>89</v>
      </c>
      <c r="Q277" s="257"/>
      <c r="R277" s="263" t="s">
        <v>652</v>
      </c>
      <c r="S277" s="263" t="s">
        <v>653</v>
      </c>
    </row>
    <row r="278" spans="1:19" x14ac:dyDescent="0.25">
      <c r="C278" s="686" t="s">
        <v>168</v>
      </c>
      <c r="D278" s="725"/>
      <c r="E278" s="725"/>
      <c r="F278" s="725"/>
      <c r="G278" s="687"/>
      <c r="H278" s="366" t="s">
        <v>521</v>
      </c>
      <c r="I278" s="409" t="str">
        <f>'Shared-2013'!F143</f>
        <v>-</v>
      </c>
      <c r="K278" s="366" t="s">
        <v>521</v>
      </c>
      <c r="L278" s="409" t="str">
        <f>'Shared-2013'!H143</f>
        <v>-</v>
      </c>
      <c r="O278" s="304" t="s">
        <v>89</v>
      </c>
      <c r="Q278" s="43" t="s">
        <v>168</v>
      </c>
      <c r="R278" s="395">
        <v>4.7E-2</v>
      </c>
      <c r="S278" s="395">
        <v>4.7E-2</v>
      </c>
    </row>
    <row r="279" spans="1:19" x14ac:dyDescent="0.25">
      <c r="C279" s="686" t="s">
        <v>169</v>
      </c>
      <c r="D279" s="725"/>
      <c r="E279" s="725"/>
      <c r="F279" s="725"/>
      <c r="G279" s="687"/>
      <c r="H279" s="366" t="s">
        <v>521</v>
      </c>
      <c r="I279" s="409" t="str">
        <f>'Shared-2013'!F144</f>
        <v>-</v>
      </c>
      <c r="K279" s="366" t="s">
        <v>521</v>
      </c>
      <c r="L279" s="409" t="str">
        <f>'Shared-2013'!H144</f>
        <v>-</v>
      </c>
      <c r="O279" s="304" t="s">
        <v>89</v>
      </c>
      <c r="Q279" s="44" t="s">
        <v>169</v>
      </c>
      <c r="R279" s="395">
        <v>0.13100000000000001</v>
      </c>
      <c r="S279" s="395">
        <v>8.5000000000000006E-2</v>
      </c>
    </row>
    <row r="280" spans="1:19" x14ac:dyDescent="0.25">
      <c r="C280" s="686" t="s">
        <v>170</v>
      </c>
      <c r="D280" s="725"/>
      <c r="E280" s="725"/>
      <c r="F280" s="725"/>
      <c r="G280" s="687"/>
      <c r="H280" s="366" t="s">
        <v>521</v>
      </c>
      <c r="I280" s="409" t="str">
        <f>'Shared-2013'!F145</f>
        <v>-</v>
      </c>
      <c r="K280" s="366" t="s">
        <v>521</v>
      </c>
      <c r="L280" s="409" t="str">
        <f>'Shared-2013'!H145</f>
        <v>-</v>
      </c>
      <c r="O280" s="304" t="s">
        <v>89</v>
      </c>
      <c r="Q280" s="44" t="s">
        <v>170</v>
      </c>
      <c r="R280" s="395">
        <v>0.107</v>
      </c>
      <c r="S280" s="395">
        <v>7.4999999999999997E-2</v>
      </c>
    </row>
    <row r="281" spans="1:19" x14ac:dyDescent="0.25">
      <c r="C281" s="686" t="s">
        <v>171</v>
      </c>
      <c r="D281" s="725"/>
      <c r="E281" s="725"/>
      <c r="F281" s="725"/>
      <c r="G281" s="687"/>
      <c r="H281" s="366" t="s">
        <v>521</v>
      </c>
      <c r="I281" s="409" t="str">
        <f>'Shared-2013'!F146</f>
        <v>-</v>
      </c>
      <c r="K281" s="366" t="s">
        <v>521</v>
      </c>
      <c r="L281" s="409" t="str">
        <f>'Shared-2013'!H146</f>
        <v>-</v>
      </c>
      <c r="O281" s="304" t="s">
        <v>89</v>
      </c>
      <c r="Q281" s="44" t="s">
        <v>171</v>
      </c>
      <c r="R281" s="395">
        <v>8.5000000000000006E-2</v>
      </c>
      <c r="S281" s="395">
        <v>9.4E-2</v>
      </c>
    </row>
    <row r="282" spans="1:19" x14ac:dyDescent="0.25">
      <c r="C282" s="686" t="s">
        <v>172</v>
      </c>
      <c r="D282" s="725"/>
      <c r="E282" s="725"/>
      <c r="F282" s="725"/>
      <c r="G282" s="687"/>
      <c r="H282" s="366" t="s">
        <v>521</v>
      </c>
      <c r="I282" s="409" t="str">
        <f>'Shared-2013'!F147</f>
        <v>-</v>
      </c>
      <c r="K282" s="366" t="s">
        <v>521</v>
      </c>
      <c r="L282" s="409" t="str">
        <f>'Shared-2013'!H147</f>
        <v>-</v>
      </c>
      <c r="O282" s="304" t="s">
        <v>89</v>
      </c>
      <c r="Q282" s="44" t="s">
        <v>172</v>
      </c>
      <c r="R282" s="395">
        <v>7.4999999999999997E-2</v>
      </c>
      <c r="S282" s="395">
        <v>7.4999999999999997E-2</v>
      </c>
    </row>
    <row r="283" spans="1:19" x14ac:dyDescent="0.25">
      <c r="C283" s="686" t="s">
        <v>173</v>
      </c>
      <c r="D283" s="725"/>
      <c r="E283" s="725"/>
      <c r="F283" s="725"/>
      <c r="G283" s="687"/>
      <c r="H283" s="366" t="s">
        <v>521</v>
      </c>
      <c r="I283" s="409" t="str">
        <f>'Shared-2013'!F148</f>
        <v>-</v>
      </c>
      <c r="K283" s="366" t="s">
        <v>521</v>
      </c>
      <c r="L283" s="409" t="str">
        <f>'Shared-2013'!H148</f>
        <v>-</v>
      </c>
      <c r="O283" s="304" t="s">
        <v>89</v>
      </c>
      <c r="Q283" s="44" t="s">
        <v>173</v>
      </c>
      <c r="R283" s="395">
        <v>0.10299999999999999</v>
      </c>
      <c r="S283" s="395">
        <v>0.14000000000000001</v>
      </c>
    </row>
    <row r="284" spans="1:19" x14ac:dyDescent="0.25">
      <c r="C284" s="686" t="s">
        <v>174</v>
      </c>
      <c r="D284" s="725"/>
      <c r="E284" s="725"/>
      <c r="F284" s="725"/>
      <c r="G284" s="687"/>
      <c r="H284" s="366" t="s">
        <v>521</v>
      </c>
      <c r="I284" s="409" t="str">
        <f>'Shared-2013'!F149</f>
        <v>-</v>
      </c>
      <c r="K284" s="366" t="s">
        <v>521</v>
      </c>
      <c r="L284" s="409" t="str">
        <f>'Shared-2013'!H149</f>
        <v>-</v>
      </c>
      <c r="O284" s="304" t="s">
        <v>89</v>
      </c>
      <c r="Q284" s="44" t="s">
        <v>174</v>
      </c>
      <c r="R284" s="395">
        <v>9.4E-2</v>
      </c>
      <c r="S284" s="395">
        <v>7.4999999999999997E-2</v>
      </c>
    </row>
    <row r="285" spans="1:19" x14ac:dyDescent="0.25">
      <c r="C285" s="686" t="s">
        <v>175</v>
      </c>
      <c r="D285" s="725"/>
      <c r="E285" s="725"/>
      <c r="F285" s="725"/>
      <c r="G285" s="687"/>
      <c r="H285" s="366" t="s">
        <v>521</v>
      </c>
      <c r="I285" s="409" t="str">
        <f>'Shared-2013'!F150</f>
        <v>-</v>
      </c>
      <c r="K285" s="366" t="s">
        <v>521</v>
      </c>
      <c r="L285" s="409" t="str">
        <f>'Shared-2013'!H150</f>
        <v>-</v>
      </c>
      <c r="O285" s="304" t="s">
        <v>89</v>
      </c>
      <c r="Q285" s="44" t="s">
        <v>175</v>
      </c>
      <c r="R285" s="395">
        <v>0.10299999999999999</v>
      </c>
      <c r="S285" s="395">
        <v>0.13100000000000001</v>
      </c>
    </row>
    <row r="286" spans="1:19" x14ac:dyDescent="0.25">
      <c r="C286" s="686" t="s">
        <v>176</v>
      </c>
      <c r="D286" s="725"/>
      <c r="E286" s="725"/>
      <c r="F286" s="725"/>
      <c r="G286" s="687"/>
      <c r="H286" s="366" t="s">
        <v>521</v>
      </c>
      <c r="I286" s="409" t="str">
        <f>'Shared-2013'!F151</f>
        <v>-</v>
      </c>
      <c r="K286" s="366" t="s">
        <v>521</v>
      </c>
      <c r="L286" s="409" t="str">
        <f>'Shared-2013'!H151</f>
        <v>-</v>
      </c>
      <c r="O286" s="304" t="s">
        <v>89</v>
      </c>
      <c r="Q286" s="44" t="s">
        <v>176</v>
      </c>
      <c r="R286" s="395">
        <v>0.17699999999999999</v>
      </c>
      <c r="S286" s="395">
        <v>0.113</v>
      </c>
    </row>
    <row r="287" spans="1:19" x14ac:dyDescent="0.25">
      <c r="C287" s="686" t="s">
        <v>177</v>
      </c>
      <c r="D287" s="725"/>
      <c r="E287" s="725"/>
      <c r="F287" s="725"/>
      <c r="G287" s="687"/>
      <c r="H287" s="366" t="s">
        <v>521</v>
      </c>
      <c r="I287" s="409" t="str">
        <f>'Shared-2013'!F152</f>
        <v>-</v>
      </c>
      <c r="K287" s="366" t="s">
        <v>521</v>
      </c>
      <c r="L287" s="409" t="str">
        <f>'Shared-2013'!H152</f>
        <v>-</v>
      </c>
      <c r="O287" s="304" t="s">
        <v>89</v>
      </c>
      <c r="Q287" s="44" t="s">
        <v>177</v>
      </c>
      <c r="R287" s="395">
        <v>0.113</v>
      </c>
      <c r="S287" s="395">
        <v>6.6000000000000003E-2</v>
      </c>
    </row>
    <row r="288" spans="1:19" x14ac:dyDescent="0.25">
      <c r="C288" s="686" t="s">
        <v>178</v>
      </c>
      <c r="D288" s="725"/>
      <c r="E288" s="725"/>
      <c r="F288" s="725"/>
      <c r="G288" s="687"/>
      <c r="H288" s="366" t="s">
        <v>521</v>
      </c>
      <c r="I288" s="409" t="str">
        <f>'Shared-2013'!F153</f>
        <v>-</v>
      </c>
      <c r="K288" s="366" t="s">
        <v>521</v>
      </c>
      <c r="L288" s="409" t="str">
        <f>'Shared-2013'!H153</f>
        <v>-</v>
      </c>
      <c r="O288" s="304" t="s">
        <v>89</v>
      </c>
      <c r="Q288" s="44" t="s">
        <v>178</v>
      </c>
      <c r="R288" s="395">
        <v>0.186</v>
      </c>
      <c r="S288" s="535">
        <v>8.5000000000000006E-2</v>
      </c>
    </row>
    <row r="289" spans="3:19" x14ac:dyDescent="0.25">
      <c r="C289" s="686" t="s">
        <v>179</v>
      </c>
      <c r="D289" s="725"/>
      <c r="E289" s="725"/>
      <c r="F289" s="725"/>
      <c r="G289" s="687"/>
      <c r="H289" s="366" t="s">
        <v>521</v>
      </c>
      <c r="I289" s="409" t="str">
        <f>'Shared-2013'!F154</f>
        <v>-</v>
      </c>
      <c r="K289" s="366" t="s">
        <v>521</v>
      </c>
      <c r="L289" s="409" t="str">
        <f>'Shared-2013'!H154</f>
        <v>-</v>
      </c>
      <c r="O289" s="304" t="s">
        <v>89</v>
      </c>
      <c r="Q289" s="44" t="s">
        <v>179</v>
      </c>
      <c r="R289" s="395">
        <v>0.186</v>
      </c>
      <c r="S289" s="395">
        <v>0.122</v>
      </c>
    </row>
    <row r="290" spans="3:19" x14ac:dyDescent="0.25">
      <c r="C290" s="686" t="s">
        <v>180</v>
      </c>
      <c r="D290" s="725"/>
      <c r="E290" s="725"/>
      <c r="F290" s="725"/>
      <c r="G290" s="687"/>
      <c r="H290" s="366" t="s">
        <v>521</v>
      </c>
      <c r="I290" s="409" t="str">
        <f>'Shared-2013'!F155</f>
        <v>-</v>
      </c>
      <c r="K290" s="366" t="s">
        <v>521</v>
      </c>
      <c r="L290" s="409" t="str">
        <f>'Shared-2013'!H155</f>
        <v>-</v>
      </c>
      <c r="O290" s="304" t="s">
        <v>89</v>
      </c>
      <c r="Q290" s="44" t="s">
        <v>180</v>
      </c>
      <c r="R290" s="395">
        <v>0.186</v>
      </c>
      <c r="S290" s="395">
        <v>0.159</v>
      </c>
    </row>
    <row r="291" spans="3:19" x14ac:dyDescent="0.25">
      <c r="C291" s="686" t="s">
        <v>181</v>
      </c>
      <c r="D291" s="725"/>
      <c r="E291" s="725"/>
      <c r="F291" s="725"/>
      <c r="G291" s="687"/>
      <c r="H291" s="366" t="s">
        <v>521</v>
      </c>
      <c r="I291" s="409" t="str">
        <f>'Shared-2013'!F156</f>
        <v>-</v>
      </c>
      <c r="K291" s="366" t="s">
        <v>521</v>
      </c>
      <c r="L291" s="409" t="str">
        <f>'Shared-2013'!H156</f>
        <v>-</v>
      </c>
      <c r="O291" s="304" t="s">
        <v>89</v>
      </c>
      <c r="Q291" s="44" t="s">
        <v>181</v>
      </c>
      <c r="R291" s="395">
        <v>0.186</v>
      </c>
      <c r="S291" s="395">
        <v>0.159</v>
      </c>
    </row>
    <row r="292" spans="3:19" x14ac:dyDescent="0.25">
      <c r="C292" s="686" t="s">
        <v>182</v>
      </c>
      <c r="D292" s="725"/>
      <c r="E292" s="725"/>
      <c r="F292" s="725"/>
      <c r="G292" s="687"/>
      <c r="H292" s="366" t="s">
        <v>521</v>
      </c>
      <c r="I292" s="409" t="str">
        <f>'Shared-2013'!F157</f>
        <v>-</v>
      </c>
      <c r="K292" s="366" t="s">
        <v>521</v>
      </c>
      <c r="L292" s="409" t="str">
        <f>'Shared-2013'!H157</f>
        <v>-</v>
      </c>
      <c r="O292" s="304" t="s">
        <v>89</v>
      </c>
      <c r="Q292" s="44" t="s">
        <v>182</v>
      </c>
      <c r="R292" s="395">
        <v>0.186</v>
      </c>
      <c r="S292" s="395">
        <v>0.159</v>
      </c>
    </row>
    <row r="293" spans="3:19" x14ac:dyDescent="0.25">
      <c r="C293" s="688" t="s">
        <v>183</v>
      </c>
      <c r="D293" s="726"/>
      <c r="E293" s="726"/>
      <c r="F293" s="726"/>
      <c r="G293" s="689"/>
      <c r="H293" s="410" t="s">
        <v>521</v>
      </c>
      <c r="I293" s="411" t="str">
        <f>'Shared-2013'!F158</f>
        <v>-</v>
      </c>
      <c r="K293" s="410" t="s">
        <v>521</v>
      </c>
      <c r="L293" s="411" t="str">
        <f>'Shared-2013'!H158</f>
        <v>-</v>
      </c>
      <c r="O293" s="304" t="s">
        <v>89</v>
      </c>
      <c r="Q293" s="45" t="s">
        <v>183</v>
      </c>
      <c r="R293" s="396">
        <v>0.186</v>
      </c>
      <c r="S293" s="396">
        <v>0.159</v>
      </c>
    </row>
    <row r="294" spans="3:19" x14ac:dyDescent="0.25">
      <c r="D294" s="8"/>
      <c r="E294" s="8"/>
      <c r="G294" s="8"/>
      <c r="H294" s="95"/>
      <c r="I294" s="95"/>
      <c r="O294" s="304" t="s">
        <v>89</v>
      </c>
    </row>
    <row r="295" spans="3:19" x14ac:dyDescent="0.25">
      <c r="D295" s="8"/>
      <c r="E295" s="8"/>
      <c r="G295" s="8"/>
      <c r="H295" s="95"/>
      <c r="I295" s="95"/>
      <c r="K295" s="735" t="s">
        <v>1037</v>
      </c>
      <c r="L295" s="691"/>
      <c r="O295" s="304" t="s">
        <v>89</v>
      </c>
    </row>
    <row r="296" spans="3:19" ht="33.75" x14ac:dyDescent="0.25">
      <c r="C296" s="811" t="s">
        <v>167</v>
      </c>
      <c r="D296" s="801"/>
      <c r="E296" s="801"/>
      <c r="F296" s="801"/>
      <c r="G296" s="812"/>
      <c r="H296" s="265" t="s">
        <v>640</v>
      </c>
      <c r="K296" s="265" t="s">
        <v>1041</v>
      </c>
      <c r="L296" s="368"/>
      <c r="O296" s="304" t="s">
        <v>89</v>
      </c>
      <c r="Q296" s="240" t="s">
        <v>190</v>
      </c>
      <c r="R296" s="264" t="s">
        <v>191</v>
      </c>
    </row>
    <row r="297" spans="3:19" x14ac:dyDescent="0.25">
      <c r="C297" s="579" t="s">
        <v>186</v>
      </c>
      <c r="D297" s="725"/>
      <c r="E297" s="725"/>
      <c r="F297" s="725"/>
      <c r="G297" s="687"/>
      <c r="H297" s="366" t="s">
        <v>521</v>
      </c>
      <c r="K297" s="366" t="s">
        <v>521</v>
      </c>
      <c r="L297" s="369"/>
      <c r="O297" s="304" t="s">
        <v>89</v>
      </c>
      <c r="Q297" s="43" t="s">
        <v>186</v>
      </c>
      <c r="R297" s="397">
        <v>3.6999999999999998E-2</v>
      </c>
    </row>
    <row r="298" spans="3:19" x14ac:dyDescent="0.25">
      <c r="C298" s="579" t="s">
        <v>187</v>
      </c>
      <c r="D298" s="725"/>
      <c r="E298" s="725"/>
      <c r="F298" s="725"/>
      <c r="G298" s="687"/>
      <c r="H298" s="366" t="s">
        <v>521</v>
      </c>
      <c r="K298" s="366" t="s">
        <v>521</v>
      </c>
      <c r="L298" s="369"/>
      <c r="O298" s="304" t="s">
        <v>89</v>
      </c>
      <c r="Q298" s="239" t="s">
        <v>187</v>
      </c>
      <c r="R298" s="398">
        <v>-5.1999999999999998E-2</v>
      </c>
    </row>
    <row r="299" spans="3:19" x14ac:dyDescent="0.25">
      <c r="C299" s="579" t="s">
        <v>188</v>
      </c>
      <c r="D299" s="725"/>
      <c r="E299" s="725"/>
      <c r="F299" s="725"/>
      <c r="G299" s="687"/>
      <c r="H299" s="366" t="s">
        <v>521</v>
      </c>
      <c r="K299" s="366" t="s">
        <v>521</v>
      </c>
      <c r="L299" s="369"/>
      <c r="O299" s="304" t="s">
        <v>89</v>
      </c>
      <c r="Q299" s="44" t="s">
        <v>193</v>
      </c>
      <c r="R299" s="398">
        <v>7.0000000000000001E-3</v>
      </c>
    </row>
    <row r="300" spans="3:19" x14ac:dyDescent="0.25">
      <c r="C300" s="580" t="s">
        <v>189</v>
      </c>
      <c r="D300" s="726"/>
      <c r="E300" s="726"/>
      <c r="F300" s="726"/>
      <c r="G300" s="689"/>
      <c r="H300" s="410" t="s">
        <v>521</v>
      </c>
      <c r="K300" s="410" t="s">
        <v>521</v>
      </c>
      <c r="L300" s="372"/>
      <c r="O300" s="304" t="s">
        <v>89</v>
      </c>
      <c r="Q300" s="44" t="s">
        <v>192</v>
      </c>
      <c r="R300" s="398">
        <v>2.1000000000000001E-2</v>
      </c>
    </row>
    <row r="301" spans="3:19" x14ac:dyDescent="0.25">
      <c r="D301" s="8"/>
      <c r="E301" s="8"/>
      <c r="G301" s="8"/>
      <c r="H301" s="95"/>
      <c r="O301" s="304" t="s">
        <v>89</v>
      </c>
      <c r="Q301" s="45" t="s">
        <v>185</v>
      </c>
      <c r="R301" s="399">
        <v>1E-3</v>
      </c>
    </row>
    <row r="302" spans="3:19" ht="33.75" x14ac:dyDescent="0.25">
      <c r="C302" s="813" t="s">
        <v>184</v>
      </c>
      <c r="D302" s="814"/>
      <c r="E302" s="259"/>
      <c r="F302" s="259"/>
      <c r="G302" s="259"/>
      <c r="H302" s="273"/>
      <c r="I302" s="265" t="s">
        <v>1039</v>
      </c>
      <c r="K302" s="370"/>
      <c r="L302" s="265" t="s">
        <v>1040</v>
      </c>
      <c r="O302" s="304" t="s">
        <v>89</v>
      </c>
    </row>
    <row r="303" spans="3:19" x14ac:dyDescent="0.25">
      <c r="C303" s="776" t="s">
        <v>185</v>
      </c>
      <c r="D303" s="778"/>
      <c r="E303" s="777"/>
      <c r="F303" s="777"/>
      <c r="G303" s="777"/>
      <c r="H303" s="778"/>
      <c r="I303" s="413" t="s">
        <v>521</v>
      </c>
      <c r="K303" s="371"/>
      <c r="L303" s="413" t="s">
        <v>521</v>
      </c>
      <c r="O303" s="304" t="s">
        <v>89</v>
      </c>
    </row>
    <row r="304" spans="3:19" x14ac:dyDescent="0.25">
      <c r="D304" s="8"/>
      <c r="E304" s="8"/>
      <c r="G304" s="8"/>
      <c r="H304" s="95"/>
      <c r="I304" s="95"/>
      <c r="O304" s="304" t="s">
        <v>89</v>
      </c>
    </row>
    <row r="305" spans="3:17" x14ac:dyDescent="0.25">
      <c r="C305" s="4"/>
      <c r="D305" s="4"/>
      <c r="E305" s="4"/>
      <c r="F305" s="4"/>
      <c r="O305" s="304" t="s">
        <v>89</v>
      </c>
    </row>
    <row r="306" spans="3:17" x14ac:dyDescent="0.25">
      <c r="C306" s="1043" t="s">
        <v>1049</v>
      </c>
      <c r="D306" s="1111" t="str">
        <f>$D$63</f>
        <v>VB és TM</v>
      </c>
      <c r="E306" s="4"/>
      <c r="F306" s="4"/>
      <c r="O306" s="304" t="s">
        <v>89</v>
      </c>
    </row>
    <row r="307" spans="3:17" x14ac:dyDescent="0.25">
      <c r="C307" s="1045"/>
      <c r="D307" s="1112"/>
      <c r="E307" s="93"/>
      <c r="F307" s="92"/>
      <c r="O307" s="304" t="s">
        <v>89</v>
      </c>
    </row>
    <row r="308" spans="3:17" ht="9.75" customHeight="1" x14ac:dyDescent="0.25">
      <c r="D308" s="4"/>
      <c r="F308" s="60"/>
      <c r="G308" s="8"/>
      <c r="O308" s="304" t="s">
        <v>89</v>
      </c>
    </row>
    <row r="309" spans="3:17" x14ac:dyDescent="0.25">
      <c r="C309" s="766" t="s">
        <v>71</v>
      </c>
      <c r="D309" s="723"/>
      <c r="E309" s="815"/>
      <c r="F309" s="816"/>
      <c r="G309" s="450" t="str">
        <f>IF(COUNTIF(G310:G312,"&lt;&gt;-")&gt;0,SUM(G310:G312),"-")</f>
        <v>-</v>
      </c>
      <c r="I309" s="518" t="s">
        <v>521</v>
      </c>
      <c r="J309" s="741" t="s">
        <v>775</v>
      </c>
      <c r="K309" s="777"/>
      <c r="L309" s="777"/>
      <c r="M309" s="777"/>
      <c r="N309" s="778"/>
      <c r="O309" s="304" t="s">
        <v>89</v>
      </c>
    </row>
    <row r="310" spans="3:17" x14ac:dyDescent="0.25">
      <c r="C310" s="686" t="s">
        <v>689</v>
      </c>
      <c r="D310" s="725"/>
      <c r="E310" s="817"/>
      <c r="F310" s="818"/>
      <c r="G310" s="514" t="s">
        <v>521</v>
      </c>
      <c r="O310" s="304" t="s">
        <v>89</v>
      </c>
    </row>
    <row r="311" spans="3:17" x14ac:dyDescent="0.25">
      <c r="C311" s="686" t="s">
        <v>690</v>
      </c>
      <c r="D311" s="725"/>
      <c r="E311" s="817"/>
      <c r="F311" s="818"/>
      <c r="G311" s="514" t="s">
        <v>521</v>
      </c>
      <c r="O311" s="304" t="s">
        <v>89</v>
      </c>
    </row>
    <row r="312" spans="3:17" x14ac:dyDescent="0.25">
      <c r="C312" s="688" t="s">
        <v>715</v>
      </c>
      <c r="D312" s="726"/>
      <c r="E312" s="819"/>
      <c r="F312" s="820"/>
      <c r="G312" s="519" t="s">
        <v>521</v>
      </c>
      <c r="I312" s="518" t="s">
        <v>521</v>
      </c>
      <c r="J312" s="741" t="s">
        <v>727</v>
      </c>
      <c r="K312" s="777"/>
      <c r="L312" s="777"/>
      <c r="M312" s="777"/>
      <c r="N312" s="778"/>
      <c r="O312" s="304" t="s">
        <v>89</v>
      </c>
    </row>
    <row r="313" spans="3:17" ht="8.25" customHeight="1" x14ac:dyDescent="0.25">
      <c r="C313" s="4"/>
      <c r="D313" s="4"/>
      <c r="E313" s="4"/>
      <c r="F313" s="4"/>
      <c r="O313" s="304" t="s">
        <v>89</v>
      </c>
    </row>
    <row r="314" spans="3:17" x14ac:dyDescent="0.25">
      <c r="C314" s="4"/>
      <c r="D314" s="4"/>
      <c r="E314" s="4"/>
      <c r="F314" s="735" t="s">
        <v>729</v>
      </c>
      <c r="G314" s="691"/>
      <c r="O314" s="304" t="s">
        <v>89</v>
      </c>
    </row>
    <row r="315" spans="3:17" x14ac:dyDescent="0.25">
      <c r="C315" s="776" t="s">
        <v>713</v>
      </c>
      <c r="D315" s="672" t="s">
        <v>709</v>
      </c>
      <c r="E315" s="207" t="s">
        <v>89</v>
      </c>
      <c r="F315" s="694" t="s">
        <v>517</v>
      </c>
      <c r="G315" s="694" t="s">
        <v>518</v>
      </c>
      <c r="H315" s="766" t="s">
        <v>728</v>
      </c>
      <c r="I315" s="723"/>
      <c r="J315" s="723"/>
      <c r="K315" s="685"/>
      <c r="L315" s="685"/>
      <c r="M315" s="685"/>
      <c r="O315" s="304" t="s">
        <v>89</v>
      </c>
      <c r="P315" s="301" t="s">
        <v>521</v>
      </c>
      <c r="Q315" s="301" t="s">
        <v>521</v>
      </c>
    </row>
    <row r="316" spans="3:17" x14ac:dyDescent="0.25">
      <c r="C316" s="736" t="s">
        <v>67</v>
      </c>
      <c r="D316" s="528" t="s">
        <v>521</v>
      </c>
      <c r="E316" s="207" t="s">
        <v>89</v>
      </c>
      <c r="F316" s="528" t="s">
        <v>521</v>
      </c>
      <c r="G316" s="520" t="s">
        <v>521</v>
      </c>
      <c r="H316" s="1124" t="s">
        <v>714</v>
      </c>
      <c r="I316" s="1125"/>
      <c r="J316" s="1125"/>
      <c r="K316" s="1125"/>
      <c r="L316" s="1125"/>
      <c r="M316" s="1126"/>
      <c r="O316" s="304" t="s">
        <v>89</v>
      </c>
      <c r="P316" s="301" t="s">
        <v>535</v>
      </c>
      <c r="Q316" s="301" t="s">
        <v>714</v>
      </c>
    </row>
    <row r="317" spans="3:17" x14ac:dyDescent="0.25">
      <c r="C317" s="738" t="s">
        <v>164</v>
      </c>
      <c r="D317" s="514" t="s">
        <v>521</v>
      </c>
      <c r="E317" s="207" t="s">
        <v>89</v>
      </c>
      <c r="F317" s="514" t="s">
        <v>521</v>
      </c>
      <c r="G317" s="515" t="s">
        <v>521</v>
      </c>
      <c r="H317" s="1119" t="s">
        <v>714</v>
      </c>
      <c r="I317" s="1120"/>
      <c r="J317" s="1120"/>
      <c r="K317" s="1120"/>
      <c r="L317" s="1120"/>
      <c r="M317" s="1121"/>
      <c r="O317" s="304" t="s">
        <v>89</v>
      </c>
      <c r="P317" s="301" t="s">
        <v>533</v>
      </c>
      <c r="Q317" s="301" t="s">
        <v>1051</v>
      </c>
    </row>
    <row r="318" spans="3:17" x14ac:dyDescent="0.25">
      <c r="C318" s="738" t="s">
        <v>165</v>
      </c>
      <c r="D318" s="514" t="s">
        <v>521</v>
      </c>
      <c r="E318" s="207" t="s">
        <v>89</v>
      </c>
      <c r="F318" s="514" t="s">
        <v>521</v>
      </c>
      <c r="G318" s="515" t="s">
        <v>521</v>
      </c>
      <c r="H318" s="1119" t="s">
        <v>714</v>
      </c>
      <c r="I318" s="1120"/>
      <c r="J318" s="1120"/>
      <c r="K318" s="1120"/>
      <c r="L318" s="1120"/>
      <c r="M318" s="1121"/>
      <c r="O318" s="304" t="s">
        <v>89</v>
      </c>
      <c r="P318" s="301" t="s">
        <v>140</v>
      </c>
      <c r="Q318" s="301" t="s">
        <v>1052</v>
      </c>
    </row>
    <row r="319" spans="3:17" x14ac:dyDescent="0.25">
      <c r="C319" s="738" t="s">
        <v>600</v>
      </c>
      <c r="D319" s="514" t="s">
        <v>521</v>
      </c>
      <c r="E319" s="207" t="s">
        <v>89</v>
      </c>
      <c r="F319" s="514" t="s">
        <v>521</v>
      </c>
      <c r="G319" s="515" t="s">
        <v>521</v>
      </c>
      <c r="H319" s="1119" t="s">
        <v>714</v>
      </c>
      <c r="I319" s="1120"/>
      <c r="J319" s="1120"/>
      <c r="K319" s="1120"/>
      <c r="L319" s="1120"/>
      <c r="M319" s="1121"/>
      <c r="O319" s="304" t="s">
        <v>89</v>
      </c>
    </row>
    <row r="320" spans="3:17" x14ac:dyDescent="0.25">
      <c r="C320" s="738" t="s">
        <v>555</v>
      </c>
      <c r="D320" s="514" t="s">
        <v>521</v>
      </c>
      <c r="E320" s="207" t="s">
        <v>89</v>
      </c>
      <c r="F320" s="514" t="s">
        <v>521</v>
      </c>
      <c r="G320" s="515" t="s">
        <v>521</v>
      </c>
      <c r="H320" s="1119" t="s">
        <v>714</v>
      </c>
      <c r="I320" s="1120"/>
      <c r="J320" s="1120"/>
      <c r="K320" s="1120"/>
      <c r="L320" s="1120"/>
      <c r="M320" s="1121"/>
      <c r="O320" s="304" t="s">
        <v>89</v>
      </c>
    </row>
    <row r="321" spans="3:15" x14ac:dyDescent="0.25">
      <c r="C321" s="738" t="s">
        <v>166</v>
      </c>
      <c r="D321" s="514" t="s">
        <v>521</v>
      </c>
      <c r="E321" s="207" t="s">
        <v>89</v>
      </c>
      <c r="F321" s="514" t="s">
        <v>521</v>
      </c>
      <c r="G321" s="515" t="s">
        <v>521</v>
      </c>
      <c r="H321" s="1119" t="s">
        <v>714</v>
      </c>
      <c r="I321" s="1120"/>
      <c r="J321" s="1120"/>
      <c r="K321" s="1120"/>
      <c r="L321" s="1120"/>
      <c r="M321" s="1121"/>
      <c r="O321" s="304" t="s">
        <v>89</v>
      </c>
    </row>
    <row r="322" spans="3:15" x14ac:dyDescent="0.25">
      <c r="C322" s="738" t="s">
        <v>557</v>
      </c>
      <c r="D322" s="514" t="s">
        <v>521</v>
      </c>
      <c r="E322" s="207" t="s">
        <v>89</v>
      </c>
      <c r="F322" s="514" t="s">
        <v>521</v>
      </c>
      <c r="G322" s="515" t="s">
        <v>521</v>
      </c>
      <c r="H322" s="1119" t="s">
        <v>714</v>
      </c>
      <c r="I322" s="1120"/>
      <c r="J322" s="1120"/>
      <c r="K322" s="1120"/>
      <c r="L322" s="1120"/>
      <c r="M322" s="1121"/>
      <c r="O322" s="304" t="s">
        <v>89</v>
      </c>
    </row>
    <row r="323" spans="3:15" x14ac:dyDescent="0.25">
      <c r="C323" s="738" t="s">
        <v>711</v>
      </c>
      <c r="D323" s="514" t="s">
        <v>521</v>
      </c>
      <c r="E323" s="207" t="s">
        <v>89</v>
      </c>
      <c r="F323" s="514" t="s">
        <v>521</v>
      </c>
      <c r="G323" s="515" t="s">
        <v>521</v>
      </c>
      <c r="H323" s="1119" t="s">
        <v>714</v>
      </c>
      <c r="I323" s="1120"/>
      <c r="J323" s="1120"/>
      <c r="K323" s="1120"/>
      <c r="L323" s="1120"/>
      <c r="M323" s="1121"/>
      <c r="O323" s="304" t="s">
        <v>89</v>
      </c>
    </row>
    <row r="324" spans="3:15" x14ac:dyDescent="0.25">
      <c r="C324" s="738" t="s">
        <v>710</v>
      </c>
      <c r="D324" s="519" t="s">
        <v>521</v>
      </c>
      <c r="E324" s="207" t="s">
        <v>89</v>
      </c>
      <c r="F324" s="519" t="s">
        <v>521</v>
      </c>
      <c r="G324" s="525" t="s">
        <v>521</v>
      </c>
      <c r="H324" s="1127" t="s">
        <v>714</v>
      </c>
      <c r="I324" s="1128"/>
      <c r="J324" s="1128"/>
      <c r="K324" s="1128"/>
      <c r="L324" s="1128"/>
      <c r="M324" s="1129"/>
      <c r="O324" s="304" t="s">
        <v>89</v>
      </c>
    </row>
    <row r="325" spans="3:15" x14ac:dyDescent="0.25">
      <c r="C325" s="717" t="s">
        <v>1167</v>
      </c>
      <c r="D325" s="528" t="s">
        <v>521</v>
      </c>
      <c r="E325" s="207" t="s">
        <v>89</v>
      </c>
      <c r="F325" s="528" t="s">
        <v>521</v>
      </c>
      <c r="G325" s="520" t="s">
        <v>521</v>
      </c>
      <c r="H325" s="1124" t="s">
        <v>714</v>
      </c>
      <c r="I325" s="1125"/>
      <c r="J325" s="1125"/>
      <c r="K325" s="1125"/>
      <c r="L325" s="1125"/>
      <c r="M325" s="1126"/>
      <c r="O325" s="304" t="s">
        <v>89</v>
      </c>
    </row>
    <row r="326" spans="3:15" x14ac:dyDescent="0.25">
      <c r="C326" s="720" t="s">
        <v>776</v>
      </c>
      <c r="D326" s="519" t="s">
        <v>521</v>
      </c>
      <c r="E326" s="207" t="s">
        <v>89</v>
      </c>
      <c r="F326" s="519" t="s">
        <v>521</v>
      </c>
      <c r="G326" s="525" t="s">
        <v>521</v>
      </c>
      <c r="H326" s="1127" t="s">
        <v>714</v>
      </c>
      <c r="I326" s="1128"/>
      <c r="J326" s="1128"/>
      <c r="K326" s="1128"/>
      <c r="L326" s="1128"/>
      <c r="M326" s="1129"/>
      <c r="O326" s="304" t="s">
        <v>89</v>
      </c>
    </row>
    <row r="327" spans="3:15" x14ac:dyDescent="0.25">
      <c r="C327" s="515" t="s">
        <v>712</v>
      </c>
      <c r="D327" s="524"/>
      <c r="E327" s="207" t="s">
        <v>89</v>
      </c>
      <c r="F327" s="514" t="s">
        <v>521</v>
      </c>
      <c r="G327" s="514" t="s">
        <v>521</v>
      </c>
      <c r="O327" s="304" t="s">
        <v>89</v>
      </c>
    </row>
    <row r="328" spans="3:15" x14ac:dyDescent="0.25">
      <c r="C328" s="515" t="s">
        <v>716</v>
      </c>
      <c r="D328" s="524"/>
      <c r="E328" s="207" t="s">
        <v>89</v>
      </c>
      <c r="F328" s="514" t="s">
        <v>521</v>
      </c>
      <c r="G328" s="514" t="s">
        <v>521</v>
      </c>
      <c r="O328" s="304" t="s">
        <v>89</v>
      </c>
    </row>
    <row r="329" spans="3:15" x14ac:dyDescent="0.25">
      <c r="C329" s="515" t="s">
        <v>717</v>
      </c>
      <c r="D329" s="524"/>
      <c r="E329" s="207" t="s">
        <v>89</v>
      </c>
      <c r="F329" s="514" t="s">
        <v>521</v>
      </c>
      <c r="G329" s="514" t="s">
        <v>521</v>
      </c>
      <c r="O329" s="304" t="s">
        <v>89</v>
      </c>
    </row>
    <row r="330" spans="3:15" x14ac:dyDescent="0.25">
      <c r="C330" s="515" t="s">
        <v>718</v>
      </c>
      <c r="D330" s="524"/>
      <c r="E330" s="207" t="s">
        <v>89</v>
      </c>
      <c r="F330" s="514" t="s">
        <v>521</v>
      </c>
      <c r="G330" s="514" t="s">
        <v>521</v>
      </c>
      <c r="O330" s="304" t="s">
        <v>89</v>
      </c>
    </row>
    <row r="331" spans="3:15" x14ac:dyDescent="0.25">
      <c r="C331" s="515" t="s">
        <v>719</v>
      </c>
      <c r="D331" s="524"/>
      <c r="E331" s="207" t="s">
        <v>89</v>
      </c>
      <c r="F331" s="514" t="s">
        <v>521</v>
      </c>
      <c r="G331" s="514" t="s">
        <v>521</v>
      </c>
      <c r="O331" s="304" t="s">
        <v>89</v>
      </c>
    </row>
    <row r="332" spans="3:15" x14ac:dyDescent="0.25">
      <c r="C332" s="515" t="s">
        <v>720</v>
      </c>
      <c r="D332" s="524"/>
      <c r="E332" s="207" t="s">
        <v>89</v>
      </c>
      <c r="F332" s="514" t="s">
        <v>521</v>
      </c>
      <c r="G332" s="514" t="s">
        <v>521</v>
      </c>
      <c r="O332" s="304" t="s">
        <v>89</v>
      </c>
    </row>
    <row r="333" spans="3:15" x14ac:dyDescent="0.25">
      <c r="C333" s="515" t="s">
        <v>721</v>
      </c>
      <c r="D333" s="524"/>
      <c r="E333" s="207" t="s">
        <v>89</v>
      </c>
      <c r="F333" s="514" t="s">
        <v>521</v>
      </c>
      <c r="G333" s="514" t="s">
        <v>521</v>
      </c>
      <c r="O333" s="304" t="s">
        <v>89</v>
      </c>
    </row>
    <row r="334" spans="3:15" x14ac:dyDescent="0.25">
      <c r="C334" s="515" t="s">
        <v>722</v>
      </c>
      <c r="D334" s="524"/>
      <c r="E334" s="207" t="s">
        <v>89</v>
      </c>
      <c r="F334" s="514" t="s">
        <v>521</v>
      </c>
      <c r="G334" s="514" t="s">
        <v>521</v>
      </c>
      <c r="O334" s="304" t="s">
        <v>89</v>
      </c>
    </row>
    <row r="335" spans="3:15" x14ac:dyDescent="0.25">
      <c r="C335" s="515" t="s">
        <v>723</v>
      </c>
      <c r="D335" s="524"/>
      <c r="E335" s="207" t="s">
        <v>89</v>
      </c>
      <c r="F335" s="514" t="s">
        <v>521</v>
      </c>
      <c r="G335" s="514" t="s">
        <v>521</v>
      </c>
      <c r="O335" s="304" t="s">
        <v>89</v>
      </c>
    </row>
    <row r="336" spans="3:15" x14ac:dyDescent="0.25">
      <c r="C336" s="515" t="s">
        <v>724</v>
      </c>
      <c r="D336" s="524"/>
      <c r="E336" s="207" t="s">
        <v>89</v>
      </c>
      <c r="F336" s="514" t="s">
        <v>521</v>
      </c>
      <c r="G336" s="514" t="s">
        <v>521</v>
      </c>
      <c r="O336" s="304" t="s">
        <v>89</v>
      </c>
    </row>
    <row r="337" spans="1:15" x14ac:dyDescent="0.25">
      <c r="C337" s="515" t="s">
        <v>725</v>
      </c>
      <c r="D337" s="524"/>
      <c r="E337" s="207" t="s">
        <v>89</v>
      </c>
      <c r="F337" s="514" t="s">
        <v>521</v>
      </c>
      <c r="G337" s="514" t="s">
        <v>521</v>
      </c>
      <c r="O337" s="304" t="s">
        <v>89</v>
      </c>
    </row>
    <row r="338" spans="1:15" x14ac:dyDescent="0.25">
      <c r="C338" s="515" t="s">
        <v>726</v>
      </c>
      <c r="D338" s="524"/>
      <c r="E338" s="207" t="s">
        <v>89</v>
      </c>
      <c r="F338" s="514" t="s">
        <v>521</v>
      </c>
      <c r="G338" s="514" t="s">
        <v>521</v>
      </c>
      <c r="O338" s="304" t="s">
        <v>89</v>
      </c>
    </row>
    <row r="339" spans="1:15" x14ac:dyDescent="0.25">
      <c r="O339" s="304" t="s">
        <v>89</v>
      </c>
    </row>
    <row r="340" spans="1:15" x14ac:dyDescent="0.25">
      <c r="O340" s="304" t="s">
        <v>89</v>
      </c>
    </row>
    <row r="341" spans="1:15" x14ac:dyDescent="0.25">
      <c r="C341" s="1043" t="s">
        <v>1050</v>
      </c>
      <c r="D341" s="1111" t="str">
        <f>$D$63</f>
        <v>VB és TM</v>
      </c>
      <c r="O341" s="304" t="s">
        <v>89</v>
      </c>
    </row>
    <row r="342" spans="1:15" x14ac:dyDescent="0.25">
      <c r="C342" s="1045"/>
      <c r="D342" s="1112"/>
      <c r="O342" s="304" t="s">
        <v>89</v>
      </c>
    </row>
    <row r="343" spans="1:15" x14ac:dyDescent="0.25">
      <c r="O343" s="304" t="s">
        <v>89</v>
      </c>
    </row>
    <row r="344" spans="1:15" x14ac:dyDescent="0.25">
      <c r="C344" s="181" t="s">
        <v>697</v>
      </c>
      <c r="D344" s="695" t="s">
        <v>514</v>
      </c>
      <c r="E344" s="155" t="s">
        <v>89</v>
      </c>
      <c r="F344" s="695" t="s">
        <v>516</v>
      </c>
      <c r="G344" s="695" t="s">
        <v>699</v>
      </c>
      <c r="H344" s="695" t="s">
        <v>700</v>
      </c>
      <c r="I344" s="695" t="s">
        <v>701</v>
      </c>
      <c r="J344" s="695" t="s">
        <v>504</v>
      </c>
      <c r="K344" s="695" t="s">
        <v>702</v>
      </c>
      <c r="L344" s="695" t="s">
        <v>703</v>
      </c>
      <c r="O344" s="304" t="s">
        <v>89</v>
      </c>
    </row>
    <row r="345" spans="1:15" x14ac:dyDescent="0.25">
      <c r="C345" s="821" t="s">
        <v>707</v>
      </c>
      <c r="D345" s="451">
        <v>0</v>
      </c>
      <c r="E345" s="155" t="s">
        <v>89</v>
      </c>
      <c r="F345" s="451">
        <f>SUM(H12:I12)</f>
        <v>0</v>
      </c>
      <c r="G345" s="451">
        <f>SUM(H13:I13)</f>
        <v>0</v>
      </c>
      <c r="H345" s="451">
        <f>SUM(H14:I14)</f>
        <v>0</v>
      </c>
      <c r="I345" s="451">
        <f>SUM(H15:I15)</f>
        <v>0</v>
      </c>
      <c r="J345" s="451">
        <f>SUM(H16:I16)</f>
        <v>0</v>
      </c>
      <c r="K345" s="451">
        <f>SUM(H17:I17)</f>
        <v>0</v>
      </c>
      <c r="L345" s="451">
        <f>SUM(F24)</f>
        <v>0</v>
      </c>
      <c r="O345" s="304" t="s">
        <v>89</v>
      </c>
    </row>
    <row r="346" spans="1:15" x14ac:dyDescent="0.25">
      <c r="A346" s="241"/>
      <c r="B346" s="241"/>
      <c r="C346" s="241"/>
      <c r="D346" s="241"/>
      <c r="E346" s="241"/>
      <c r="F346" s="241"/>
      <c r="G346" s="241"/>
      <c r="H346" s="292"/>
      <c r="I346" s="242"/>
      <c r="O346" s="304" t="s">
        <v>89</v>
      </c>
    </row>
    <row r="347" spans="1:15" x14ac:dyDescent="0.25">
      <c r="C347" s="311" t="s">
        <v>41</v>
      </c>
      <c r="D347" s="745" t="s">
        <v>514</v>
      </c>
      <c r="E347" s="157" t="s">
        <v>89</v>
      </c>
      <c r="F347" s="745" t="s">
        <v>516</v>
      </c>
      <c r="G347" s="745" t="s">
        <v>699</v>
      </c>
      <c r="H347" s="745" t="s">
        <v>700</v>
      </c>
      <c r="I347" s="745" t="s">
        <v>701</v>
      </c>
      <c r="J347" s="745" t="s">
        <v>504</v>
      </c>
      <c r="K347" s="745" t="s">
        <v>702</v>
      </c>
      <c r="L347" s="745" t="s">
        <v>703</v>
      </c>
      <c r="O347" s="304" t="s">
        <v>89</v>
      </c>
    </row>
    <row r="348" spans="1:15" x14ac:dyDescent="0.25">
      <c r="C348" s="822">
        <v>1</v>
      </c>
      <c r="D348" s="557">
        <f>SUM(F348:K348)</f>
        <v>0</v>
      </c>
      <c r="E348" s="157" t="s">
        <v>89</v>
      </c>
      <c r="F348" s="548" t="s">
        <v>521</v>
      </c>
      <c r="G348" s="548" t="s">
        <v>521</v>
      </c>
      <c r="H348" s="548" t="s">
        <v>521</v>
      </c>
      <c r="I348" s="548" t="s">
        <v>521</v>
      </c>
      <c r="J348" s="548" t="s">
        <v>521</v>
      </c>
      <c r="K348" s="548" t="s">
        <v>521</v>
      </c>
      <c r="L348" s="548" t="s">
        <v>521</v>
      </c>
      <c r="O348" s="304" t="s">
        <v>89</v>
      </c>
    </row>
    <row r="349" spans="1:15" x14ac:dyDescent="0.25">
      <c r="C349" s="823">
        <v>2</v>
      </c>
      <c r="D349" s="558">
        <f t="shared" ref="D349:D412" si="17">SUM(F349:K349)</f>
        <v>0</v>
      </c>
      <c r="E349" s="155" t="s">
        <v>89</v>
      </c>
      <c r="F349" s="549" t="s">
        <v>521</v>
      </c>
      <c r="G349" s="549" t="s">
        <v>521</v>
      </c>
      <c r="H349" s="549" t="s">
        <v>521</v>
      </c>
      <c r="I349" s="549" t="s">
        <v>521</v>
      </c>
      <c r="J349" s="549" t="s">
        <v>521</v>
      </c>
      <c r="K349" s="549" t="s">
        <v>521</v>
      </c>
      <c r="L349" s="549" t="s">
        <v>521</v>
      </c>
      <c r="O349" s="304" t="s">
        <v>89</v>
      </c>
    </row>
    <row r="350" spans="1:15" x14ac:dyDescent="0.25">
      <c r="C350" s="823">
        <v>3</v>
      </c>
      <c r="D350" s="558">
        <f t="shared" si="17"/>
        <v>0</v>
      </c>
      <c r="E350" s="155" t="s">
        <v>89</v>
      </c>
      <c r="F350" s="549" t="s">
        <v>521</v>
      </c>
      <c r="G350" s="549" t="s">
        <v>521</v>
      </c>
      <c r="H350" s="549" t="s">
        <v>521</v>
      </c>
      <c r="I350" s="549" t="s">
        <v>521</v>
      </c>
      <c r="J350" s="549" t="s">
        <v>521</v>
      </c>
      <c r="K350" s="549" t="s">
        <v>521</v>
      </c>
      <c r="L350" s="549" t="s">
        <v>521</v>
      </c>
      <c r="O350" s="304" t="s">
        <v>89</v>
      </c>
    </row>
    <row r="351" spans="1:15" x14ac:dyDescent="0.25">
      <c r="C351" s="823">
        <v>4</v>
      </c>
      <c r="D351" s="558">
        <f t="shared" si="17"/>
        <v>0</v>
      </c>
      <c r="E351" s="155" t="s">
        <v>89</v>
      </c>
      <c r="F351" s="549" t="s">
        <v>521</v>
      </c>
      <c r="G351" s="549" t="s">
        <v>521</v>
      </c>
      <c r="H351" s="549" t="s">
        <v>521</v>
      </c>
      <c r="I351" s="549" t="s">
        <v>521</v>
      </c>
      <c r="J351" s="549" t="s">
        <v>521</v>
      </c>
      <c r="K351" s="549" t="s">
        <v>521</v>
      </c>
      <c r="L351" s="549" t="s">
        <v>521</v>
      </c>
      <c r="O351" s="304" t="s">
        <v>89</v>
      </c>
    </row>
    <row r="352" spans="1:15" x14ac:dyDescent="0.25">
      <c r="C352" s="823">
        <v>5</v>
      </c>
      <c r="D352" s="558">
        <f t="shared" si="17"/>
        <v>0</v>
      </c>
      <c r="E352" s="155" t="s">
        <v>89</v>
      </c>
      <c r="F352" s="549" t="s">
        <v>521</v>
      </c>
      <c r="G352" s="549" t="s">
        <v>521</v>
      </c>
      <c r="H352" s="549" t="s">
        <v>521</v>
      </c>
      <c r="I352" s="549" t="s">
        <v>521</v>
      </c>
      <c r="J352" s="549" t="s">
        <v>521</v>
      </c>
      <c r="K352" s="549" t="s">
        <v>521</v>
      </c>
      <c r="L352" s="549" t="s">
        <v>521</v>
      </c>
      <c r="O352" s="304" t="s">
        <v>89</v>
      </c>
    </row>
    <row r="353" spans="3:15" x14ac:dyDescent="0.25">
      <c r="C353" s="823">
        <v>6</v>
      </c>
      <c r="D353" s="558">
        <f t="shared" si="17"/>
        <v>0</v>
      </c>
      <c r="E353" s="155" t="s">
        <v>89</v>
      </c>
      <c r="F353" s="549" t="s">
        <v>521</v>
      </c>
      <c r="G353" s="549" t="s">
        <v>521</v>
      </c>
      <c r="H353" s="549" t="s">
        <v>521</v>
      </c>
      <c r="I353" s="549" t="s">
        <v>521</v>
      </c>
      <c r="J353" s="549" t="s">
        <v>521</v>
      </c>
      <c r="K353" s="549" t="s">
        <v>521</v>
      </c>
      <c r="L353" s="549" t="s">
        <v>521</v>
      </c>
      <c r="O353" s="304" t="s">
        <v>89</v>
      </c>
    </row>
    <row r="354" spans="3:15" x14ac:dyDescent="0.25">
      <c r="C354" s="823">
        <v>7</v>
      </c>
      <c r="D354" s="558">
        <f t="shared" si="17"/>
        <v>0</v>
      </c>
      <c r="E354" s="155" t="s">
        <v>89</v>
      </c>
      <c r="F354" s="549" t="s">
        <v>521</v>
      </c>
      <c r="G354" s="549" t="s">
        <v>521</v>
      </c>
      <c r="H354" s="549" t="s">
        <v>521</v>
      </c>
      <c r="I354" s="549" t="s">
        <v>521</v>
      </c>
      <c r="J354" s="549" t="s">
        <v>521</v>
      </c>
      <c r="K354" s="549" t="s">
        <v>521</v>
      </c>
      <c r="L354" s="549" t="s">
        <v>521</v>
      </c>
      <c r="O354" s="304" t="s">
        <v>89</v>
      </c>
    </row>
    <row r="355" spans="3:15" x14ac:dyDescent="0.25">
      <c r="C355" s="823">
        <v>8</v>
      </c>
      <c r="D355" s="558">
        <f t="shared" si="17"/>
        <v>0</v>
      </c>
      <c r="E355" s="155" t="s">
        <v>89</v>
      </c>
      <c r="F355" s="549" t="s">
        <v>521</v>
      </c>
      <c r="G355" s="549" t="s">
        <v>521</v>
      </c>
      <c r="H355" s="549" t="s">
        <v>521</v>
      </c>
      <c r="I355" s="549" t="s">
        <v>521</v>
      </c>
      <c r="J355" s="549" t="s">
        <v>521</v>
      </c>
      <c r="K355" s="549" t="s">
        <v>521</v>
      </c>
      <c r="L355" s="549" t="s">
        <v>521</v>
      </c>
      <c r="O355" s="304" t="s">
        <v>89</v>
      </c>
    </row>
    <row r="356" spans="3:15" x14ac:dyDescent="0.25">
      <c r="C356" s="823">
        <v>9</v>
      </c>
      <c r="D356" s="558">
        <f t="shared" si="17"/>
        <v>0</v>
      </c>
      <c r="E356" s="155" t="s">
        <v>89</v>
      </c>
      <c r="F356" s="549" t="s">
        <v>521</v>
      </c>
      <c r="G356" s="549" t="s">
        <v>521</v>
      </c>
      <c r="H356" s="549" t="s">
        <v>521</v>
      </c>
      <c r="I356" s="549" t="s">
        <v>521</v>
      </c>
      <c r="J356" s="549" t="s">
        <v>521</v>
      </c>
      <c r="K356" s="549" t="s">
        <v>521</v>
      </c>
      <c r="L356" s="549" t="s">
        <v>521</v>
      </c>
      <c r="O356" s="304" t="s">
        <v>89</v>
      </c>
    </row>
    <row r="357" spans="3:15" x14ac:dyDescent="0.25">
      <c r="C357" s="823">
        <v>10</v>
      </c>
      <c r="D357" s="558">
        <f t="shared" si="17"/>
        <v>0</v>
      </c>
      <c r="E357" s="155" t="s">
        <v>89</v>
      </c>
      <c r="F357" s="549" t="s">
        <v>521</v>
      </c>
      <c r="G357" s="549" t="s">
        <v>521</v>
      </c>
      <c r="H357" s="549" t="s">
        <v>521</v>
      </c>
      <c r="I357" s="549" t="s">
        <v>521</v>
      </c>
      <c r="J357" s="549" t="s">
        <v>521</v>
      </c>
      <c r="K357" s="549" t="s">
        <v>521</v>
      </c>
      <c r="L357" s="549" t="s">
        <v>521</v>
      </c>
      <c r="O357" s="304" t="s">
        <v>89</v>
      </c>
    </row>
    <row r="358" spans="3:15" x14ac:dyDescent="0.25">
      <c r="C358" s="823">
        <v>11</v>
      </c>
      <c r="D358" s="558">
        <f t="shared" si="17"/>
        <v>0</v>
      </c>
      <c r="E358" s="155" t="s">
        <v>89</v>
      </c>
      <c r="F358" s="549" t="s">
        <v>521</v>
      </c>
      <c r="G358" s="549" t="s">
        <v>521</v>
      </c>
      <c r="H358" s="549" t="s">
        <v>521</v>
      </c>
      <c r="I358" s="549" t="s">
        <v>521</v>
      </c>
      <c r="J358" s="549" t="s">
        <v>521</v>
      </c>
      <c r="K358" s="549" t="s">
        <v>521</v>
      </c>
      <c r="L358" s="549" t="s">
        <v>521</v>
      </c>
      <c r="O358" s="304" t="s">
        <v>89</v>
      </c>
    </row>
    <row r="359" spans="3:15" x14ac:dyDescent="0.25">
      <c r="C359" s="823">
        <v>12</v>
      </c>
      <c r="D359" s="558">
        <f t="shared" si="17"/>
        <v>0</v>
      </c>
      <c r="E359" s="155" t="s">
        <v>89</v>
      </c>
      <c r="F359" s="549" t="s">
        <v>521</v>
      </c>
      <c r="G359" s="549" t="s">
        <v>521</v>
      </c>
      <c r="H359" s="549" t="s">
        <v>521</v>
      </c>
      <c r="I359" s="549" t="s">
        <v>521</v>
      </c>
      <c r="J359" s="549" t="s">
        <v>521</v>
      </c>
      <c r="K359" s="549" t="s">
        <v>521</v>
      </c>
      <c r="L359" s="549" t="s">
        <v>521</v>
      </c>
      <c r="O359" s="304" t="s">
        <v>89</v>
      </c>
    </row>
    <row r="360" spans="3:15" x14ac:dyDescent="0.25">
      <c r="C360" s="823">
        <v>13</v>
      </c>
      <c r="D360" s="558">
        <f t="shared" si="17"/>
        <v>0</v>
      </c>
      <c r="E360" s="155" t="s">
        <v>89</v>
      </c>
      <c r="F360" s="549" t="s">
        <v>521</v>
      </c>
      <c r="G360" s="549" t="s">
        <v>521</v>
      </c>
      <c r="H360" s="549" t="s">
        <v>521</v>
      </c>
      <c r="I360" s="549" t="s">
        <v>521</v>
      </c>
      <c r="J360" s="549" t="s">
        <v>521</v>
      </c>
      <c r="K360" s="549" t="s">
        <v>521</v>
      </c>
      <c r="L360" s="549" t="s">
        <v>521</v>
      </c>
      <c r="O360" s="304" t="s">
        <v>89</v>
      </c>
    </row>
    <row r="361" spans="3:15" x14ac:dyDescent="0.25">
      <c r="C361" s="823">
        <v>14</v>
      </c>
      <c r="D361" s="558">
        <f t="shared" si="17"/>
        <v>0</v>
      </c>
      <c r="E361" s="155" t="s">
        <v>89</v>
      </c>
      <c r="F361" s="549" t="s">
        <v>521</v>
      </c>
      <c r="G361" s="549" t="s">
        <v>521</v>
      </c>
      <c r="H361" s="549" t="s">
        <v>521</v>
      </c>
      <c r="I361" s="549" t="s">
        <v>521</v>
      </c>
      <c r="J361" s="549" t="s">
        <v>521</v>
      </c>
      <c r="K361" s="549" t="s">
        <v>521</v>
      </c>
      <c r="L361" s="549" t="s">
        <v>521</v>
      </c>
      <c r="O361" s="304" t="s">
        <v>89</v>
      </c>
    </row>
    <row r="362" spans="3:15" x14ac:dyDescent="0.25">
      <c r="C362" s="823">
        <v>15</v>
      </c>
      <c r="D362" s="558">
        <f t="shared" si="17"/>
        <v>0</v>
      </c>
      <c r="E362" s="155" t="s">
        <v>89</v>
      </c>
      <c r="F362" s="549" t="s">
        <v>521</v>
      </c>
      <c r="G362" s="549" t="s">
        <v>521</v>
      </c>
      <c r="H362" s="549" t="s">
        <v>521</v>
      </c>
      <c r="I362" s="549" t="s">
        <v>521</v>
      </c>
      <c r="J362" s="549" t="s">
        <v>521</v>
      </c>
      <c r="K362" s="549" t="s">
        <v>521</v>
      </c>
      <c r="L362" s="549" t="s">
        <v>521</v>
      </c>
      <c r="O362" s="304" t="s">
        <v>89</v>
      </c>
    </row>
    <row r="363" spans="3:15" x14ac:dyDescent="0.25">
      <c r="C363" s="823">
        <v>16</v>
      </c>
      <c r="D363" s="558">
        <f t="shared" si="17"/>
        <v>0</v>
      </c>
      <c r="E363" s="155" t="s">
        <v>89</v>
      </c>
      <c r="F363" s="549" t="s">
        <v>521</v>
      </c>
      <c r="G363" s="549" t="s">
        <v>521</v>
      </c>
      <c r="H363" s="549" t="s">
        <v>521</v>
      </c>
      <c r="I363" s="549" t="s">
        <v>521</v>
      </c>
      <c r="J363" s="549" t="s">
        <v>521</v>
      </c>
      <c r="K363" s="549" t="s">
        <v>521</v>
      </c>
      <c r="L363" s="549" t="s">
        <v>521</v>
      </c>
      <c r="O363" s="304" t="s">
        <v>89</v>
      </c>
    </row>
    <row r="364" spans="3:15" x14ac:dyDescent="0.25">
      <c r="C364" s="823">
        <v>17</v>
      </c>
      <c r="D364" s="558">
        <f t="shared" si="17"/>
        <v>0</v>
      </c>
      <c r="E364" s="155" t="s">
        <v>89</v>
      </c>
      <c r="F364" s="549" t="s">
        <v>521</v>
      </c>
      <c r="G364" s="549" t="s">
        <v>521</v>
      </c>
      <c r="H364" s="549" t="s">
        <v>521</v>
      </c>
      <c r="I364" s="549" t="s">
        <v>521</v>
      </c>
      <c r="J364" s="549" t="s">
        <v>521</v>
      </c>
      <c r="K364" s="549" t="s">
        <v>521</v>
      </c>
      <c r="L364" s="549" t="s">
        <v>521</v>
      </c>
      <c r="O364" s="304" t="s">
        <v>89</v>
      </c>
    </row>
    <row r="365" spans="3:15" x14ac:dyDescent="0.25">
      <c r="C365" s="823">
        <v>18</v>
      </c>
      <c r="D365" s="558">
        <f t="shared" si="17"/>
        <v>0</v>
      </c>
      <c r="E365" s="155" t="s">
        <v>89</v>
      </c>
      <c r="F365" s="549" t="s">
        <v>521</v>
      </c>
      <c r="G365" s="549" t="s">
        <v>521</v>
      </c>
      <c r="H365" s="549" t="s">
        <v>521</v>
      </c>
      <c r="I365" s="549" t="s">
        <v>521</v>
      </c>
      <c r="J365" s="549" t="s">
        <v>521</v>
      </c>
      <c r="K365" s="549" t="s">
        <v>521</v>
      </c>
      <c r="L365" s="549" t="s">
        <v>521</v>
      </c>
      <c r="O365" s="304" t="s">
        <v>89</v>
      </c>
    </row>
    <row r="366" spans="3:15" x14ac:dyDescent="0.25">
      <c r="C366" s="823">
        <v>19</v>
      </c>
      <c r="D366" s="558">
        <f t="shared" si="17"/>
        <v>0</v>
      </c>
      <c r="E366" s="155" t="s">
        <v>89</v>
      </c>
      <c r="F366" s="549" t="s">
        <v>521</v>
      </c>
      <c r="G366" s="549" t="s">
        <v>521</v>
      </c>
      <c r="H366" s="549" t="s">
        <v>521</v>
      </c>
      <c r="I366" s="549" t="s">
        <v>521</v>
      </c>
      <c r="J366" s="549" t="s">
        <v>521</v>
      </c>
      <c r="K366" s="549" t="s">
        <v>521</v>
      </c>
      <c r="L366" s="549" t="s">
        <v>521</v>
      </c>
      <c r="O366" s="304" t="s">
        <v>89</v>
      </c>
    </row>
    <row r="367" spans="3:15" x14ac:dyDescent="0.25">
      <c r="C367" s="823">
        <v>20</v>
      </c>
      <c r="D367" s="558">
        <f t="shared" si="17"/>
        <v>0</v>
      </c>
      <c r="E367" s="155" t="s">
        <v>89</v>
      </c>
      <c r="F367" s="549" t="s">
        <v>521</v>
      </c>
      <c r="G367" s="549" t="s">
        <v>521</v>
      </c>
      <c r="H367" s="549" t="s">
        <v>521</v>
      </c>
      <c r="I367" s="549" t="s">
        <v>521</v>
      </c>
      <c r="J367" s="549" t="s">
        <v>521</v>
      </c>
      <c r="K367" s="549" t="s">
        <v>521</v>
      </c>
      <c r="L367" s="549" t="s">
        <v>521</v>
      </c>
      <c r="O367" s="304" t="s">
        <v>89</v>
      </c>
    </row>
    <row r="368" spans="3:15" x14ac:dyDescent="0.25">
      <c r="C368" s="823">
        <v>21</v>
      </c>
      <c r="D368" s="558">
        <f t="shared" si="17"/>
        <v>0</v>
      </c>
      <c r="E368" s="155" t="s">
        <v>89</v>
      </c>
      <c r="F368" s="549" t="s">
        <v>521</v>
      </c>
      <c r="G368" s="549" t="s">
        <v>521</v>
      </c>
      <c r="H368" s="549" t="s">
        <v>521</v>
      </c>
      <c r="I368" s="549" t="s">
        <v>521</v>
      </c>
      <c r="J368" s="549" t="s">
        <v>521</v>
      </c>
      <c r="K368" s="549" t="s">
        <v>521</v>
      </c>
      <c r="L368" s="549" t="s">
        <v>521</v>
      </c>
      <c r="O368" s="304" t="s">
        <v>89</v>
      </c>
    </row>
    <row r="369" spans="3:15" x14ac:dyDescent="0.25">
      <c r="C369" s="823">
        <v>22</v>
      </c>
      <c r="D369" s="558">
        <f t="shared" si="17"/>
        <v>0</v>
      </c>
      <c r="E369" s="155" t="s">
        <v>89</v>
      </c>
      <c r="F369" s="549" t="s">
        <v>521</v>
      </c>
      <c r="G369" s="549" t="s">
        <v>521</v>
      </c>
      <c r="H369" s="549" t="s">
        <v>521</v>
      </c>
      <c r="I369" s="549" t="s">
        <v>521</v>
      </c>
      <c r="J369" s="549" t="s">
        <v>521</v>
      </c>
      <c r="K369" s="549" t="s">
        <v>521</v>
      </c>
      <c r="L369" s="549" t="s">
        <v>521</v>
      </c>
      <c r="O369" s="304" t="s">
        <v>89</v>
      </c>
    </row>
    <row r="370" spans="3:15" x14ac:dyDescent="0.25">
      <c r="C370" s="823">
        <v>23</v>
      </c>
      <c r="D370" s="558">
        <f t="shared" si="17"/>
        <v>0</v>
      </c>
      <c r="E370" s="155" t="s">
        <v>89</v>
      </c>
      <c r="F370" s="549" t="s">
        <v>521</v>
      </c>
      <c r="G370" s="549" t="s">
        <v>521</v>
      </c>
      <c r="H370" s="549" t="s">
        <v>521</v>
      </c>
      <c r="I370" s="549" t="s">
        <v>521</v>
      </c>
      <c r="J370" s="549" t="s">
        <v>521</v>
      </c>
      <c r="K370" s="549" t="s">
        <v>521</v>
      </c>
      <c r="L370" s="549" t="s">
        <v>521</v>
      </c>
      <c r="O370" s="304" t="s">
        <v>89</v>
      </c>
    </row>
    <row r="371" spans="3:15" x14ac:dyDescent="0.25">
      <c r="C371" s="823">
        <v>24</v>
      </c>
      <c r="D371" s="558">
        <f t="shared" si="17"/>
        <v>0</v>
      </c>
      <c r="E371" s="155" t="s">
        <v>89</v>
      </c>
      <c r="F371" s="549" t="s">
        <v>521</v>
      </c>
      <c r="G371" s="549" t="s">
        <v>521</v>
      </c>
      <c r="H371" s="549" t="s">
        <v>521</v>
      </c>
      <c r="I371" s="549" t="s">
        <v>521</v>
      </c>
      <c r="J371" s="549" t="s">
        <v>521</v>
      </c>
      <c r="K371" s="549" t="s">
        <v>521</v>
      </c>
      <c r="L371" s="549" t="s">
        <v>521</v>
      </c>
      <c r="O371" s="304" t="s">
        <v>89</v>
      </c>
    </row>
    <row r="372" spans="3:15" x14ac:dyDescent="0.25">
      <c r="C372" s="823">
        <v>25</v>
      </c>
      <c r="D372" s="558">
        <f t="shared" si="17"/>
        <v>0</v>
      </c>
      <c r="E372" s="155" t="s">
        <v>89</v>
      </c>
      <c r="F372" s="549" t="s">
        <v>521</v>
      </c>
      <c r="G372" s="549" t="s">
        <v>521</v>
      </c>
      <c r="H372" s="549" t="s">
        <v>521</v>
      </c>
      <c r="I372" s="549" t="s">
        <v>521</v>
      </c>
      <c r="J372" s="549" t="s">
        <v>521</v>
      </c>
      <c r="K372" s="549" t="s">
        <v>521</v>
      </c>
      <c r="L372" s="549" t="s">
        <v>521</v>
      </c>
      <c r="O372" s="304" t="s">
        <v>89</v>
      </c>
    </row>
    <row r="373" spans="3:15" x14ac:dyDescent="0.25">
      <c r="C373" s="823">
        <v>26</v>
      </c>
      <c r="D373" s="558">
        <f t="shared" si="17"/>
        <v>0</v>
      </c>
      <c r="E373" s="155" t="s">
        <v>89</v>
      </c>
      <c r="F373" s="549" t="s">
        <v>521</v>
      </c>
      <c r="G373" s="549" t="s">
        <v>521</v>
      </c>
      <c r="H373" s="549" t="s">
        <v>521</v>
      </c>
      <c r="I373" s="549" t="s">
        <v>521</v>
      </c>
      <c r="J373" s="549" t="s">
        <v>521</v>
      </c>
      <c r="K373" s="549" t="s">
        <v>521</v>
      </c>
      <c r="L373" s="549" t="s">
        <v>521</v>
      </c>
      <c r="O373" s="304" t="s">
        <v>89</v>
      </c>
    </row>
    <row r="374" spans="3:15" x14ac:dyDescent="0.25">
      <c r="C374" s="823">
        <v>27</v>
      </c>
      <c r="D374" s="558">
        <f t="shared" si="17"/>
        <v>0</v>
      </c>
      <c r="E374" s="155" t="s">
        <v>89</v>
      </c>
      <c r="F374" s="549" t="s">
        <v>521</v>
      </c>
      <c r="G374" s="549" t="s">
        <v>521</v>
      </c>
      <c r="H374" s="549" t="s">
        <v>521</v>
      </c>
      <c r="I374" s="549" t="s">
        <v>521</v>
      </c>
      <c r="J374" s="549" t="s">
        <v>521</v>
      </c>
      <c r="K374" s="549" t="s">
        <v>521</v>
      </c>
      <c r="L374" s="549" t="s">
        <v>521</v>
      </c>
      <c r="O374" s="304" t="s">
        <v>89</v>
      </c>
    </row>
    <row r="375" spans="3:15" x14ac:dyDescent="0.25">
      <c r="C375" s="823">
        <v>28</v>
      </c>
      <c r="D375" s="558">
        <f t="shared" si="17"/>
        <v>0</v>
      </c>
      <c r="E375" s="155" t="s">
        <v>89</v>
      </c>
      <c r="F375" s="549" t="s">
        <v>521</v>
      </c>
      <c r="G375" s="549" t="s">
        <v>521</v>
      </c>
      <c r="H375" s="549" t="s">
        <v>521</v>
      </c>
      <c r="I375" s="549" t="s">
        <v>521</v>
      </c>
      <c r="J375" s="549" t="s">
        <v>521</v>
      </c>
      <c r="K375" s="549" t="s">
        <v>521</v>
      </c>
      <c r="L375" s="549" t="s">
        <v>521</v>
      </c>
      <c r="O375" s="304" t="s">
        <v>89</v>
      </c>
    </row>
    <row r="376" spans="3:15" x14ac:dyDescent="0.25">
      <c r="C376" s="823">
        <v>29</v>
      </c>
      <c r="D376" s="558">
        <f t="shared" si="17"/>
        <v>0</v>
      </c>
      <c r="E376" s="155" t="s">
        <v>89</v>
      </c>
      <c r="F376" s="549" t="s">
        <v>521</v>
      </c>
      <c r="G376" s="549" t="s">
        <v>521</v>
      </c>
      <c r="H376" s="549" t="s">
        <v>521</v>
      </c>
      <c r="I376" s="549" t="s">
        <v>521</v>
      </c>
      <c r="J376" s="549" t="s">
        <v>521</v>
      </c>
      <c r="K376" s="549" t="s">
        <v>521</v>
      </c>
      <c r="L376" s="549" t="s">
        <v>521</v>
      </c>
      <c r="O376" s="304" t="s">
        <v>89</v>
      </c>
    </row>
    <row r="377" spans="3:15" x14ac:dyDescent="0.25">
      <c r="C377" s="823">
        <v>30</v>
      </c>
      <c r="D377" s="558">
        <f t="shared" si="17"/>
        <v>0</v>
      </c>
      <c r="E377" s="155" t="s">
        <v>89</v>
      </c>
      <c r="F377" s="549" t="s">
        <v>521</v>
      </c>
      <c r="G377" s="549" t="s">
        <v>521</v>
      </c>
      <c r="H377" s="549" t="s">
        <v>521</v>
      </c>
      <c r="I377" s="549" t="s">
        <v>521</v>
      </c>
      <c r="J377" s="549" t="s">
        <v>521</v>
      </c>
      <c r="K377" s="549" t="s">
        <v>521</v>
      </c>
      <c r="L377" s="549" t="s">
        <v>521</v>
      </c>
      <c r="O377" s="304" t="s">
        <v>89</v>
      </c>
    </row>
    <row r="378" spans="3:15" x14ac:dyDescent="0.25">
      <c r="C378" s="823">
        <v>31</v>
      </c>
      <c r="D378" s="558">
        <f t="shared" si="17"/>
        <v>0</v>
      </c>
      <c r="E378" s="155" t="s">
        <v>89</v>
      </c>
      <c r="F378" s="549" t="s">
        <v>521</v>
      </c>
      <c r="G378" s="549" t="s">
        <v>521</v>
      </c>
      <c r="H378" s="549" t="s">
        <v>521</v>
      </c>
      <c r="I378" s="549" t="s">
        <v>521</v>
      </c>
      <c r="J378" s="549" t="s">
        <v>521</v>
      </c>
      <c r="K378" s="549" t="s">
        <v>521</v>
      </c>
      <c r="L378" s="549" t="s">
        <v>521</v>
      </c>
      <c r="O378" s="304" t="s">
        <v>89</v>
      </c>
    </row>
    <row r="379" spans="3:15" x14ac:dyDescent="0.25">
      <c r="C379" s="823">
        <v>32</v>
      </c>
      <c r="D379" s="558">
        <f t="shared" si="17"/>
        <v>0</v>
      </c>
      <c r="E379" s="155" t="s">
        <v>89</v>
      </c>
      <c r="F379" s="549" t="s">
        <v>521</v>
      </c>
      <c r="G379" s="549" t="s">
        <v>521</v>
      </c>
      <c r="H379" s="549" t="s">
        <v>521</v>
      </c>
      <c r="I379" s="549" t="s">
        <v>521</v>
      </c>
      <c r="J379" s="549" t="s">
        <v>521</v>
      </c>
      <c r="K379" s="549" t="s">
        <v>521</v>
      </c>
      <c r="L379" s="549" t="s">
        <v>521</v>
      </c>
      <c r="O379" s="304" t="s">
        <v>89</v>
      </c>
    </row>
    <row r="380" spans="3:15" x14ac:dyDescent="0.25">
      <c r="C380" s="823">
        <v>33</v>
      </c>
      <c r="D380" s="558">
        <f t="shared" si="17"/>
        <v>0</v>
      </c>
      <c r="E380" s="155" t="s">
        <v>89</v>
      </c>
      <c r="F380" s="549" t="s">
        <v>521</v>
      </c>
      <c r="G380" s="549" t="s">
        <v>521</v>
      </c>
      <c r="H380" s="549" t="s">
        <v>521</v>
      </c>
      <c r="I380" s="549" t="s">
        <v>521</v>
      </c>
      <c r="J380" s="549" t="s">
        <v>521</v>
      </c>
      <c r="K380" s="549" t="s">
        <v>521</v>
      </c>
      <c r="L380" s="549" t="s">
        <v>521</v>
      </c>
      <c r="O380" s="304" t="s">
        <v>89</v>
      </c>
    </row>
    <row r="381" spans="3:15" x14ac:dyDescent="0.25">
      <c r="C381" s="823">
        <v>34</v>
      </c>
      <c r="D381" s="558">
        <f t="shared" si="17"/>
        <v>0</v>
      </c>
      <c r="E381" s="155" t="s">
        <v>89</v>
      </c>
      <c r="F381" s="549" t="s">
        <v>521</v>
      </c>
      <c r="G381" s="549" t="s">
        <v>521</v>
      </c>
      <c r="H381" s="549" t="s">
        <v>521</v>
      </c>
      <c r="I381" s="549" t="s">
        <v>521</v>
      </c>
      <c r="J381" s="549" t="s">
        <v>521</v>
      </c>
      <c r="K381" s="549" t="s">
        <v>521</v>
      </c>
      <c r="L381" s="549" t="s">
        <v>521</v>
      </c>
      <c r="O381" s="304" t="s">
        <v>89</v>
      </c>
    </row>
    <row r="382" spans="3:15" x14ac:dyDescent="0.25">
      <c r="C382" s="823">
        <v>35</v>
      </c>
      <c r="D382" s="558">
        <f t="shared" si="17"/>
        <v>0</v>
      </c>
      <c r="E382" s="155" t="s">
        <v>89</v>
      </c>
      <c r="F382" s="549" t="s">
        <v>521</v>
      </c>
      <c r="G382" s="549" t="s">
        <v>521</v>
      </c>
      <c r="H382" s="549" t="s">
        <v>521</v>
      </c>
      <c r="I382" s="549" t="s">
        <v>521</v>
      </c>
      <c r="J382" s="549" t="s">
        <v>521</v>
      </c>
      <c r="K382" s="549" t="s">
        <v>521</v>
      </c>
      <c r="L382" s="549" t="s">
        <v>521</v>
      </c>
      <c r="O382" s="304" t="s">
        <v>89</v>
      </c>
    </row>
    <row r="383" spans="3:15" x14ac:dyDescent="0.25">
      <c r="C383" s="823">
        <v>36</v>
      </c>
      <c r="D383" s="558">
        <f t="shared" si="17"/>
        <v>0</v>
      </c>
      <c r="E383" s="155" t="s">
        <v>89</v>
      </c>
      <c r="F383" s="549" t="s">
        <v>521</v>
      </c>
      <c r="G383" s="549" t="s">
        <v>521</v>
      </c>
      <c r="H383" s="549" t="s">
        <v>521</v>
      </c>
      <c r="I383" s="549" t="s">
        <v>521</v>
      </c>
      <c r="J383" s="549" t="s">
        <v>521</v>
      </c>
      <c r="K383" s="549" t="s">
        <v>521</v>
      </c>
      <c r="L383" s="549" t="s">
        <v>521</v>
      </c>
      <c r="O383" s="304" t="s">
        <v>89</v>
      </c>
    </row>
    <row r="384" spans="3:15" x14ac:dyDescent="0.25">
      <c r="C384" s="823">
        <v>37</v>
      </c>
      <c r="D384" s="558">
        <f t="shared" si="17"/>
        <v>0</v>
      </c>
      <c r="E384" s="155" t="s">
        <v>89</v>
      </c>
      <c r="F384" s="549" t="s">
        <v>521</v>
      </c>
      <c r="G384" s="549" t="s">
        <v>521</v>
      </c>
      <c r="H384" s="549" t="s">
        <v>521</v>
      </c>
      <c r="I384" s="549" t="s">
        <v>521</v>
      </c>
      <c r="J384" s="549" t="s">
        <v>521</v>
      </c>
      <c r="K384" s="549" t="s">
        <v>521</v>
      </c>
      <c r="L384" s="549" t="s">
        <v>521</v>
      </c>
      <c r="O384" s="304" t="s">
        <v>89</v>
      </c>
    </row>
    <row r="385" spans="3:15" x14ac:dyDescent="0.25">
      <c r="C385" s="823">
        <v>38</v>
      </c>
      <c r="D385" s="558">
        <f t="shared" si="17"/>
        <v>0</v>
      </c>
      <c r="E385" s="155" t="s">
        <v>89</v>
      </c>
      <c r="F385" s="549" t="s">
        <v>521</v>
      </c>
      <c r="G385" s="549" t="s">
        <v>521</v>
      </c>
      <c r="H385" s="549" t="s">
        <v>521</v>
      </c>
      <c r="I385" s="549" t="s">
        <v>521</v>
      </c>
      <c r="J385" s="549" t="s">
        <v>521</v>
      </c>
      <c r="K385" s="549" t="s">
        <v>521</v>
      </c>
      <c r="L385" s="549" t="s">
        <v>521</v>
      </c>
      <c r="O385" s="304" t="s">
        <v>89</v>
      </c>
    </row>
    <row r="386" spans="3:15" x14ac:dyDescent="0.25">
      <c r="C386" s="823">
        <v>39</v>
      </c>
      <c r="D386" s="558">
        <f t="shared" si="17"/>
        <v>0</v>
      </c>
      <c r="E386" s="155" t="s">
        <v>89</v>
      </c>
      <c r="F386" s="549" t="s">
        <v>521</v>
      </c>
      <c r="G386" s="549" t="s">
        <v>521</v>
      </c>
      <c r="H386" s="549" t="s">
        <v>521</v>
      </c>
      <c r="I386" s="549" t="s">
        <v>521</v>
      </c>
      <c r="J386" s="549" t="s">
        <v>521</v>
      </c>
      <c r="K386" s="549" t="s">
        <v>521</v>
      </c>
      <c r="L386" s="549" t="s">
        <v>521</v>
      </c>
      <c r="O386" s="304" t="s">
        <v>89</v>
      </c>
    </row>
    <row r="387" spans="3:15" x14ac:dyDescent="0.25">
      <c r="C387" s="823">
        <v>40</v>
      </c>
      <c r="D387" s="558">
        <f t="shared" si="17"/>
        <v>0</v>
      </c>
      <c r="E387" s="155" t="s">
        <v>89</v>
      </c>
      <c r="F387" s="549" t="s">
        <v>521</v>
      </c>
      <c r="G387" s="549" t="s">
        <v>521</v>
      </c>
      <c r="H387" s="549" t="s">
        <v>521</v>
      </c>
      <c r="I387" s="549" t="s">
        <v>521</v>
      </c>
      <c r="J387" s="549" t="s">
        <v>521</v>
      </c>
      <c r="K387" s="549" t="s">
        <v>521</v>
      </c>
      <c r="L387" s="549" t="s">
        <v>521</v>
      </c>
      <c r="O387" s="304" t="s">
        <v>89</v>
      </c>
    </row>
    <row r="388" spans="3:15" x14ac:dyDescent="0.25">
      <c r="C388" s="823">
        <v>41</v>
      </c>
      <c r="D388" s="558">
        <f t="shared" si="17"/>
        <v>0</v>
      </c>
      <c r="E388" s="155" t="s">
        <v>89</v>
      </c>
      <c r="F388" s="549" t="s">
        <v>521</v>
      </c>
      <c r="G388" s="549" t="s">
        <v>521</v>
      </c>
      <c r="H388" s="549" t="s">
        <v>521</v>
      </c>
      <c r="I388" s="549" t="s">
        <v>521</v>
      </c>
      <c r="J388" s="549" t="s">
        <v>521</v>
      </c>
      <c r="K388" s="549" t="s">
        <v>521</v>
      </c>
      <c r="L388" s="549" t="s">
        <v>521</v>
      </c>
      <c r="O388" s="304" t="s">
        <v>89</v>
      </c>
    </row>
    <row r="389" spans="3:15" x14ac:dyDescent="0.25">
      <c r="C389" s="823">
        <v>42</v>
      </c>
      <c r="D389" s="558">
        <f t="shared" si="17"/>
        <v>0</v>
      </c>
      <c r="E389" s="155" t="s">
        <v>89</v>
      </c>
      <c r="F389" s="549" t="s">
        <v>521</v>
      </c>
      <c r="G389" s="549" t="s">
        <v>521</v>
      </c>
      <c r="H389" s="549" t="s">
        <v>521</v>
      </c>
      <c r="I389" s="549" t="s">
        <v>521</v>
      </c>
      <c r="J389" s="549" t="s">
        <v>521</v>
      </c>
      <c r="K389" s="549" t="s">
        <v>521</v>
      </c>
      <c r="L389" s="549" t="s">
        <v>521</v>
      </c>
      <c r="O389" s="304" t="s">
        <v>89</v>
      </c>
    </row>
    <row r="390" spans="3:15" x14ac:dyDescent="0.25">
      <c r="C390" s="823">
        <v>43</v>
      </c>
      <c r="D390" s="558">
        <f t="shared" si="17"/>
        <v>0</v>
      </c>
      <c r="E390" s="155" t="s">
        <v>89</v>
      </c>
      <c r="F390" s="549" t="s">
        <v>521</v>
      </c>
      <c r="G390" s="549" t="s">
        <v>521</v>
      </c>
      <c r="H390" s="549" t="s">
        <v>521</v>
      </c>
      <c r="I390" s="549" t="s">
        <v>521</v>
      </c>
      <c r="J390" s="549" t="s">
        <v>521</v>
      </c>
      <c r="K390" s="549" t="s">
        <v>521</v>
      </c>
      <c r="L390" s="549" t="s">
        <v>521</v>
      </c>
      <c r="O390" s="304" t="s">
        <v>89</v>
      </c>
    </row>
    <row r="391" spans="3:15" x14ac:dyDescent="0.25">
      <c r="C391" s="823">
        <v>44</v>
      </c>
      <c r="D391" s="558">
        <f t="shared" si="17"/>
        <v>0</v>
      </c>
      <c r="E391" s="155" t="s">
        <v>89</v>
      </c>
      <c r="F391" s="549" t="s">
        <v>521</v>
      </c>
      <c r="G391" s="549" t="s">
        <v>521</v>
      </c>
      <c r="H391" s="549" t="s">
        <v>521</v>
      </c>
      <c r="I391" s="549" t="s">
        <v>521</v>
      </c>
      <c r="J391" s="549" t="s">
        <v>521</v>
      </c>
      <c r="K391" s="549" t="s">
        <v>521</v>
      </c>
      <c r="L391" s="549" t="s">
        <v>521</v>
      </c>
      <c r="O391" s="304" t="s">
        <v>89</v>
      </c>
    </row>
    <row r="392" spans="3:15" x14ac:dyDescent="0.25">
      <c r="C392" s="823">
        <v>45</v>
      </c>
      <c r="D392" s="558">
        <f t="shared" si="17"/>
        <v>0</v>
      </c>
      <c r="E392" s="155" t="s">
        <v>89</v>
      </c>
      <c r="F392" s="549" t="s">
        <v>521</v>
      </c>
      <c r="G392" s="549" t="s">
        <v>521</v>
      </c>
      <c r="H392" s="549" t="s">
        <v>521</v>
      </c>
      <c r="I392" s="549" t="s">
        <v>521</v>
      </c>
      <c r="J392" s="549" t="s">
        <v>521</v>
      </c>
      <c r="K392" s="549" t="s">
        <v>521</v>
      </c>
      <c r="L392" s="549" t="s">
        <v>521</v>
      </c>
      <c r="O392" s="304" t="s">
        <v>89</v>
      </c>
    </row>
    <row r="393" spans="3:15" x14ac:dyDescent="0.25">
      <c r="C393" s="823">
        <v>46</v>
      </c>
      <c r="D393" s="558">
        <f t="shared" si="17"/>
        <v>0</v>
      </c>
      <c r="E393" s="155" t="s">
        <v>89</v>
      </c>
      <c r="F393" s="549" t="s">
        <v>521</v>
      </c>
      <c r="G393" s="549" t="s">
        <v>521</v>
      </c>
      <c r="H393" s="549" t="s">
        <v>521</v>
      </c>
      <c r="I393" s="549" t="s">
        <v>521</v>
      </c>
      <c r="J393" s="549" t="s">
        <v>521</v>
      </c>
      <c r="K393" s="549" t="s">
        <v>521</v>
      </c>
      <c r="L393" s="549" t="s">
        <v>521</v>
      </c>
      <c r="O393" s="304" t="s">
        <v>89</v>
      </c>
    </row>
    <row r="394" spans="3:15" x14ac:dyDescent="0.25">
      <c r="C394" s="823">
        <v>47</v>
      </c>
      <c r="D394" s="558">
        <f t="shared" si="17"/>
        <v>0</v>
      </c>
      <c r="E394" s="155" t="s">
        <v>89</v>
      </c>
      <c r="F394" s="549" t="s">
        <v>521</v>
      </c>
      <c r="G394" s="549" t="s">
        <v>521</v>
      </c>
      <c r="H394" s="549" t="s">
        <v>521</v>
      </c>
      <c r="I394" s="549" t="s">
        <v>521</v>
      </c>
      <c r="J394" s="549" t="s">
        <v>521</v>
      </c>
      <c r="K394" s="549" t="s">
        <v>521</v>
      </c>
      <c r="L394" s="549" t="s">
        <v>521</v>
      </c>
      <c r="O394" s="304" t="s">
        <v>89</v>
      </c>
    </row>
    <row r="395" spans="3:15" x14ac:dyDescent="0.25">
      <c r="C395" s="823">
        <v>48</v>
      </c>
      <c r="D395" s="558">
        <f t="shared" si="17"/>
        <v>0</v>
      </c>
      <c r="E395" s="155" t="s">
        <v>89</v>
      </c>
      <c r="F395" s="549" t="s">
        <v>521</v>
      </c>
      <c r="G395" s="549" t="s">
        <v>521</v>
      </c>
      <c r="H395" s="549" t="s">
        <v>521</v>
      </c>
      <c r="I395" s="549" t="s">
        <v>521</v>
      </c>
      <c r="J395" s="549" t="s">
        <v>521</v>
      </c>
      <c r="K395" s="549" t="s">
        <v>521</v>
      </c>
      <c r="L395" s="549" t="s">
        <v>521</v>
      </c>
      <c r="O395" s="304" t="s">
        <v>89</v>
      </c>
    </row>
    <row r="396" spans="3:15" x14ac:dyDescent="0.25">
      <c r="C396" s="823">
        <v>49</v>
      </c>
      <c r="D396" s="558">
        <f t="shared" si="17"/>
        <v>0</v>
      </c>
      <c r="E396" s="155" t="s">
        <v>89</v>
      </c>
      <c r="F396" s="549" t="s">
        <v>521</v>
      </c>
      <c r="G396" s="549" t="s">
        <v>521</v>
      </c>
      <c r="H396" s="549" t="s">
        <v>521</v>
      </c>
      <c r="I396" s="549" t="s">
        <v>521</v>
      </c>
      <c r="J396" s="549" t="s">
        <v>521</v>
      </c>
      <c r="K396" s="549" t="s">
        <v>521</v>
      </c>
      <c r="L396" s="549" t="s">
        <v>521</v>
      </c>
      <c r="O396" s="304" t="s">
        <v>89</v>
      </c>
    </row>
    <row r="397" spans="3:15" x14ac:dyDescent="0.25">
      <c r="C397" s="823">
        <v>50</v>
      </c>
      <c r="D397" s="558">
        <f t="shared" si="17"/>
        <v>0</v>
      </c>
      <c r="E397" s="155" t="s">
        <v>89</v>
      </c>
      <c r="F397" s="549" t="s">
        <v>521</v>
      </c>
      <c r="G397" s="549" t="s">
        <v>521</v>
      </c>
      <c r="H397" s="549" t="s">
        <v>521</v>
      </c>
      <c r="I397" s="549" t="s">
        <v>521</v>
      </c>
      <c r="J397" s="549" t="s">
        <v>521</v>
      </c>
      <c r="K397" s="549" t="s">
        <v>521</v>
      </c>
      <c r="L397" s="549" t="s">
        <v>521</v>
      </c>
      <c r="O397" s="304" t="s">
        <v>89</v>
      </c>
    </row>
    <row r="398" spans="3:15" x14ac:dyDescent="0.25">
      <c r="C398" s="823">
        <v>51</v>
      </c>
      <c r="D398" s="558">
        <f t="shared" si="17"/>
        <v>0</v>
      </c>
      <c r="E398" s="155" t="s">
        <v>89</v>
      </c>
      <c r="F398" s="549" t="s">
        <v>521</v>
      </c>
      <c r="G398" s="549" t="s">
        <v>521</v>
      </c>
      <c r="H398" s="549" t="s">
        <v>521</v>
      </c>
      <c r="I398" s="549" t="s">
        <v>521</v>
      </c>
      <c r="J398" s="549" t="s">
        <v>521</v>
      </c>
      <c r="K398" s="549" t="s">
        <v>521</v>
      </c>
      <c r="L398" s="549" t="s">
        <v>521</v>
      </c>
      <c r="O398" s="304" t="s">
        <v>89</v>
      </c>
    </row>
    <row r="399" spans="3:15" x14ac:dyDescent="0.25">
      <c r="C399" s="823">
        <v>52</v>
      </c>
      <c r="D399" s="558">
        <f t="shared" si="17"/>
        <v>0</v>
      </c>
      <c r="E399" s="155" t="s">
        <v>89</v>
      </c>
      <c r="F399" s="549" t="s">
        <v>521</v>
      </c>
      <c r="G399" s="549" t="s">
        <v>521</v>
      </c>
      <c r="H399" s="549" t="s">
        <v>521</v>
      </c>
      <c r="I399" s="549" t="s">
        <v>521</v>
      </c>
      <c r="J399" s="549" t="s">
        <v>521</v>
      </c>
      <c r="K399" s="549" t="s">
        <v>521</v>
      </c>
      <c r="L399" s="549" t="s">
        <v>521</v>
      </c>
      <c r="O399" s="304" t="s">
        <v>89</v>
      </c>
    </row>
    <row r="400" spans="3:15" x14ac:dyDescent="0.25">
      <c r="C400" s="823">
        <v>53</v>
      </c>
      <c r="D400" s="558">
        <f t="shared" si="17"/>
        <v>0</v>
      </c>
      <c r="E400" s="155" t="s">
        <v>89</v>
      </c>
      <c r="F400" s="549" t="s">
        <v>521</v>
      </c>
      <c r="G400" s="549" t="s">
        <v>521</v>
      </c>
      <c r="H400" s="549" t="s">
        <v>521</v>
      </c>
      <c r="I400" s="549" t="s">
        <v>521</v>
      </c>
      <c r="J400" s="549" t="s">
        <v>521</v>
      </c>
      <c r="K400" s="549" t="s">
        <v>521</v>
      </c>
      <c r="L400" s="549" t="s">
        <v>521</v>
      </c>
      <c r="O400" s="304" t="s">
        <v>89</v>
      </c>
    </row>
    <row r="401" spans="3:15" x14ac:dyDescent="0.25">
      <c r="C401" s="823">
        <v>54</v>
      </c>
      <c r="D401" s="558">
        <f t="shared" si="17"/>
        <v>0</v>
      </c>
      <c r="E401" s="155" t="s">
        <v>89</v>
      </c>
      <c r="F401" s="549" t="s">
        <v>521</v>
      </c>
      <c r="G401" s="549" t="s">
        <v>521</v>
      </c>
      <c r="H401" s="549" t="s">
        <v>521</v>
      </c>
      <c r="I401" s="549" t="s">
        <v>521</v>
      </c>
      <c r="J401" s="549" t="s">
        <v>521</v>
      </c>
      <c r="K401" s="549" t="s">
        <v>521</v>
      </c>
      <c r="L401" s="549" t="s">
        <v>521</v>
      </c>
      <c r="O401" s="304" t="s">
        <v>89</v>
      </c>
    </row>
    <row r="402" spans="3:15" x14ac:dyDescent="0.25">
      <c r="C402" s="823">
        <v>55</v>
      </c>
      <c r="D402" s="558">
        <f t="shared" si="17"/>
        <v>0</v>
      </c>
      <c r="E402" s="155" t="s">
        <v>89</v>
      </c>
      <c r="F402" s="549" t="s">
        <v>521</v>
      </c>
      <c r="G402" s="549" t="s">
        <v>521</v>
      </c>
      <c r="H402" s="549" t="s">
        <v>521</v>
      </c>
      <c r="I402" s="549" t="s">
        <v>521</v>
      </c>
      <c r="J402" s="549" t="s">
        <v>521</v>
      </c>
      <c r="K402" s="549" t="s">
        <v>521</v>
      </c>
      <c r="L402" s="549" t="s">
        <v>521</v>
      </c>
      <c r="O402" s="304" t="s">
        <v>89</v>
      </c>
    </row>
    <row r="403" spans="3:15" x14ac:dyDescent="0.25">
      <c r="C403" s="823">
        <v>56</v>
      </c>
      <c r="D403" s="558">
        <f t="shared" si="17"/>
        <v>0</v>
      </c>
      <c r="E403" s="155" t="s">
        <v>89</v>
      </c>
      <c r="F403" s="549" t="s">
        <v>521</v>
      </c>
      <c r="G403" s="549" t="s">
        <v>521</v>
      </c>
      <c r="H403" s="549" t="s">
        <v>521</v>
      </c>
      <c r="I403" s="549" t="s">
        <v>521</v>
      </c>
      <c r="J403" s="549" t="s">
        <v>521</v>
      </c>
      <c r="K403" s="549" t="s">
        <v>521</v>
      </c>
      <c r="L403" s="549" t="s">
        <v>521</v>
      </c>
      <c r="O403" s="304" t="s">
        <v>89</v>
      </c>
    </row>
    <row r="404" spans="3:15" x14ac:dyDescent="0.25">
      <c r="C404" s="823">
        <v>57</v>
      </c>
      <c r="D404" s="558">
        <f t="shared" si="17"/>
        <v>0</v>
      </c>
      <c r="E404" s="155" t="s">
        <v>89</v>
      </c>
      <c r="F404" s="549" t="s">
        <v>521</v>
      </c>
      <c r="G404" s="549" t="s">
        <v>521</v>
      </c>
      <c r="H404" s="549" t="s">
        <v>521</v>
      </c>
      <c r="I404" s="549" t="s">
        <v>521</v>
      </c>
      <c r="J404" s="549" t="s">
        <v>521</v>
      </c>
      <c r="K404" s="549" t="s">
        <v>521</v>
      </c>
      <c r="L404" s="549" t="s">
        <v>521</v>
      </c>
      <c r="O404" s="304" t="s">
        <v>89</v>
      </c>
    </row>
    <row r="405" spans="3:15" x14ac:dyDescent="0.25">
      <c r="C405" s="823">
        <v>58</v>
      </c>
      <c r="D405" s="558">
        <f t="shared" si="17"/>
        <v>0</v>
      </c>
      <c r="E405" s="155" t="s">
        <v>89</v>
      </c>
      <c r="F405" s="549" t="s">
        <v>521</v>
      </c>
      <c r="G405" s="549" t="s">
        <v>521</v>
      </c>
      <c r="H405" s="549" t="s">
        <v>521</v>
      </c>
      <c r="I405" s="549" t="s">
        <v>521</v>
      </c>
      <c r="J405" s="549" t="s">
        <v>521</v>
      </c>
      <c r="K405" s="549" t="s">
        <v>521</v>
      </c>
      <c r="L405" s="549" t="s">
        <v>521</v>
      </c>
      <c r="O405" s="304" t="s">
        <v>89</v>
      </c>
    </row>
    <row r="406" spans="3:15" x14ac:dyDescent="0.25">
      <c r="C406" s="823">
        <v>59</v>
      </c>
      <c r="D406" s="558">
        <f t="shared" si="17"/>
        <v>0</v>
      </c>
      <c r="E406" s="155" t="s">
        <v>89</v>
      </c>
      <c r="F406" s="549" t="s">
        <v>521</v>
      </c>
      <c r="G406" s="549" t="s">
        <v>521</v>
      </c>
      <c r="H406" s="549" t="s">
        <v>521</v>
      </c>
      <c r="I406" s="549" t="s">
        <v>521</v>
      </c>
      <c r="J406" s="549" t="s">
        <v>521</v>
      </c>
      <c r="K406" s="549" t="s">
        <v>521</v>
      </c>
      <c r="L406" s="549" t="s">
        <v>521</v>
      </c>
      <c r="O406" s="304" t="s">
        <v>89</v>
      </c>
    </row>
    <row r="407" spans="3:15" x14ac:dyDescent="0.25">
      <c r="C407" s="823">
        <v>60</v>
      </c>
      <c r="D407" s="558">
        <f t="shared" si="17"/>
        <v>0</v>
      </c>
      <c r="E407" s="155" t="s">
        <v>89</v>
      </c>
      <c r="F407" s="549" t="s">
        <v>521</v>
      </c>
      <c r="G407" s="549" t="s">
        <v>521</v>
      </c>
      <c r="H407" s="549" t="s">
        <v>521</v>
      </c>
      <c r="I407" s="549" t="s">
        <v>521</v>
      </c>
      <c r="J407" s="549" t="s">
        <v>521</v>
      </c>
      <c r="K407" s="549" t="s">
        <v>521</v>
      </c>
      <c r="L407" s="549" t="s">
        <v>521</v>
      </c>
      <c r="O407" s="304" t="s">
        <v>89</v>
      </c>
    </row>
    <row r="408" spans="3:15" x14ac:dyDescent="0.25">
      <c r="C408" s="823">
        <v>61</v>
      </c>
      <c r="D408" s="558">
        <f t="shared" si="17"/>
        <v>0</v>
      </c>
      <c r="E408" s="155" t="s">
        <v>89</v>
      </c>
      <c r="F408" s="549" t="s">
        <v>521</v>
      </c>
      <c r="G408" s="549" t="s">
        <v>521</v>
      </c>
      <c r="H408" s="549" t="s">
        <v>521</v>
      </c>
      <c r="I408" s="549" t="s">
        <v>521</v>
      </c>
      <c r="J408" s="549" t="s">
        <v>521</v>
      </c>
      <c r="K408" s="549" t="s">
        <v>521</v>
      </c>
      <c r="L408" s="549" t="s">
        <v>521</v>
      </c>
      <c r="O408" s="304" t="s">
        <v>89</v>
      </c>
    </row>
    <row r="409" spans="3:15" x14ac:dyDescent="0.25">
      <c r="C409" s="823">
        <v>62</v>
      </c>
      <c r="D409" s="558">
        <f t="shared" si="17"/>
        <v>0</v>
      </c>
      <c r="E409" s="155" t="s">
        <v>89</v>
      </c>
      <c r="F409" s="549" t="s">
        <v>521</v>
      </c>
      <c r="G409" s="549" t="s">
        <v>521</v>
      </c>
      <c r="H409" s="549" t="s">
        <v>521</v>
      </c>
      <c r="I409" s="549" t="s">
        <v>521</v>
      </c>
      <c r="J409" s="549" t="s">
        <v>521</v>
      </c>
      <c r="K409" s="549" t="s">
        <v>521</v>
      </c>
      <c r="L409" s="549" t="s">
        <v>521</v>
      </c>
      <c r="O409" s="304" t="s">
        <v>89</v>
      </c>
    </row>
    <row r="410" spans="3:15" x14ac:dyDescent="0.25">
      <c r="C410" s="823">
        <v>63</v>
      </c>
      <c r="D410" s="558">
        <f t="shared" si="17"/>
        <v>0</v>
      </c>
      <c r="E410" s="155" t="s">
        <v>89</v>
      </c>
      <c r="F410" s="549" t="s">
        <v>521</v>
      </c>
      <c r="G410" s="549" t="s">
        <v>521</v>
      </c>
      <c r="H410" s="549" t="s">
        <v>521</v>
      </c>
      <c r="I410" s="549" t="s">
        <v>521</v>
      </c>
      <c r="J410" s="549" t="s">
        <v>521</v>
      </c>
      <c r="K410" s="549" t="s">
        <v>521</v>
      </c>
      <c r="L410" s="549" t="s">
        <v>521</v>
      </c>
      <c r="O410" s="304" t="s">
        <v>89</v>
      </c>
    </row>
    <row r="411" spans="3:15" x14ac:dyDescent="0.25">
      <c r="C411" s="823">
        <v>64</v>
      </c>
      <c r="D411" s="558">
        <f t="shared" si="17"/>
        <v>0</v>
      </c>
      <c r="E411" s="155" t="s">
        <v>89</v>
      </c>
      <c r="F411" s="549" t="s">
        <v>521</v>
      </c>
      <c r="G411" s="549" t="s">
        <v>521</v>
      </c>
      <c r="H411" s="549" t="s">
        <v>521</v>
      </c>
      <c r="I411" s="549" t="s">
        <v>521</v>
      </c>
      <c r="J411" s="549" t="s">
        <v>521</v>
      </c>
      <c r="K411" s="549" t="s">
        <v>521</v>
      </c>
      <c r="L411" s="549" t="s">
        <v>521</v>
      </c>
      <c r="O411" s="304" t="s">
        <v>89</v>
      </c>
    </row>
    <row r="412" spans="3:15" x14ac:dyDescent="0.25">
      <c r="C412" s="823">
        <v>65</v>
      </c>
      <c r="D412" s="558">
        <f t="shared" si="17"/>
        <v>0</v>
      </c>
      <c r="E412" s="155" t="s">
        <v>89</v>
      </c>
      <c r="F412" s="549" t="s">
        <v>521</v>
      </c>
      <c r="G412" s="549" t="s">
        <v>521</v>
      </c>
      <c r="H412" s="549" t="s">
        <v>521</v>
      </c>
      <c r="I412" s="549" t="s">
        <v>521</v>
      </c>
      <c r="J412" s="549" t="s">
        <v>521</v>
      </c>
      <c r="K412" s="549" t="s">
        <v>521</v>
      </c>
      <c r="L412" s="549" t="s">
        <v>521</v>
      </c>
      <c r="O412" s="304" t="s">
        <v>89</v>
      </c>
    </row>
    <row r="413" spans="3:15" x14ac:dyDescent="0.25">
      <c r="C413" s="823">
        <v>66</v>
      </c>
      <c r="D413" s="558">
        <f t="shared" ref="D413:D437" si="18">SUM(F413:K413)</f>
        <v>0</v>
      </c>
      <c r="E413" s="155" t="s">
        <v>89</v>
      </c>
      <c r="F413" s="549" t="s">
        <v>521</v>
      </c>
      <c r="G413" s="549" t="s">
        <v>521</v>
      </c>
      <c r="H413" s="549" t="s">
        <v>521</v>
      </c>
      <c r="I413" s="549" t="s">
        <v>521</v>
      </c>
      <c r="J413" s="549" t="s">
        <v>521</v>
      </c>
      <c r="K413" s="549" t="s">
        <v>521</v>
      </c>
      <c r="L413" s="549" t="s">
        <v>521</v>
      </c>
      <c r="O413" s="304" t="s">
        <v>89</v>
      </c>
    </row>
    <row r="414" spans="3:15" x14ac:dyDescent="0.25">
      <c r="C414" s="823">
        <v>67</v>
      </c>
      <c r="D414" s="558">
        <f t="shared" si="18"/>
        <v>0</v>
      </c>
      <c r="E414" s="155" t="s">
        <v>89</v>
      </c>
      <c r="F414" s="549" t="s">
        <v>521</v>
      </c>
      <c r="G414" s="549" t="s">
        <v>521</v>
      </c>
      <c r="H414" s="549" t="s">
        <v>521</v>
      </c>
      <c r="I414" s="549" t="s">
        <v>521</v>
      </c>
      <c r="J414" s="549" t="s">
        <v>521</v>
      </c>
      <c r="K414" s="549" t="s">
        <v>521</v>
      </c>
      <c r="L414" s="549" t="s">
        <v>521</v>
      </c>
      <c r="O414" s="304" t="s">
        <v>89</v>
      </c>
    </row>
    <row r="415" spans="3:15" x14ac:dyDescent="0.25">
      <c r="C415" s="823">
        <v>68</v>
      </c>
      <c r="D415" s="558">
        <f t="shared" si="18"/>
        <v>0</v>
      </c>
      <c r="E415" s="155" t="s">
        <v>89</v>
      </c>
      <c r="F415" s="549" t="s">
        <v>521</v>
      </c>
      <c r="G415" s="549" t="s">
        <v>521</v>
      </c>
      <c r="H415" s="549" t="s">
        <v>521</v>
      </c>
      <c r="I415" s="549" t="s">
        <v>521</v>
      </c>
      <c r="J415" s="549" t="s">
        <v>521</v>
      </c>
      <c r="K415" s="549" t="s">
        <v>521</v>
      </c>
      <c r="L415" s="549" t="s">
        <v>521</v>
      </c>
      <c r="O415" s="304" t="s">
        <v>89</v>
      </c>
    </row>
    <row r="416" spans="3:15" x14ac:dyDescent="0.25">
      <c r="C416" s="823">
        <v>69</v>
      </c>
      <c r="D416" s="558">
        <f t="shared" si="18"/>
        <v>0</v>
      </c>
      <c r="E416" s="155" t="s">
        <v>89</v>
      </c>
      <c r="F416" s="549" t="s">
        <v>521</v>
      </c>
      <c r="G416" s="549" t="s">
        <v>521</v>
      </c>
      <c r="H416" s="549" t="s">
        <v>521</v>
      </c>
      <c r="I416" s="549" t="s">
        <v>521</v>
      </c>
      <c r="J416" s="549" t="s">
        <v>521</v>
      </c>
      <c r="K416" s="549" t="s">
        <v>521</v>
      </c>
      <c r="L416" s="549" t="s">
        <v>521</v>
      </c>
      <c r="O416" s="304" t="s">
        <v>89</v>
      </c>
    </row>
    <row r="417" spans="3:15" x14ac:dyDescent="0.25">
      <c r="C417" s="823">
        <v>70</v>
      </c>
      <c r="D417" s="558">
        <f t="shared" si="18"/>
        <v>0</v>
      </c>
      <c r="E417" s="155" t="s">
        <v>89</v>
      </c>
      <c r="F417" s="549" t="s">
        <v>521</v>
      </c>
      <c r="G417" s="549" t="s">
        <v>521</v>
      </c>
      <c r="H417" s="549" t="s">
        <v>521</v>
      </c>
      <c r="I417" s="549" t="s">
        <v>521</v>
      </c>
      <c r="J417" s="549" t="s">
        <v>521</v>
      </c>
      <c r="K417" s="549" t="s">
        <v>521</v>
      </c>
      <c r="L417" s="549" t="s">
        <v>521</v>
      </c>
      <c r="O417" s="304" t="s">
        <v>89</v>
      </c>
    </row>
    <row r="418" spans="3:15" x14ac:dyDescent="0.25">
      <c r="C418" s="823">
        <v>71</v>
      </c>
      <c r="D418" s="558">
        <f t="shared" si="18"/>
        <v>0</v>
      </c>
      <c r="E418" s="155" t="s">
        <v>89</v>
      </c>
      <c r="F418" s="549" t="s">
        <v>521</v>
      </c>
      <c r="G418" s="549" t="s">
        <v>521</v>
      </c>
      <c r="H418" s="549" t="s">
        <v>521</v>
      </c>
      <c r="I418" s="549" t="s">
        <v>521</v>
      </c>
      <c r="J418" s="549" t="s">
        <v>521</v>
      </c>
      <c r="K418" s="549" t="s">
        <v>521</v>
      </c>
      <c r="L418" s="549" t="s">
        <v>521</v>
      </c>
      <c r="O418" s="304" t="s">
        <v>89</v>
      </c>
    </row>
    <row r="419" spans="3:15" x14ac:dyDescent="0.25">
      <c r="C419" s="823">
        <v>72</v>
      </c>
      <c r="D419" s="558">
        <f t="shared" si="18"/>
        <v>0</v>
      </c>
      <c r="E419" s="155" t="s">
        <v>89</v>
      </c>
      <c r="F419" s="549" t="s">
        <v>521</v>
      </c>
      <c r="G419" s="549" t="s">
        <v>521</v>
      </c>
      <c r="H419" s="549" t="s">
        <v>521</v>
      </c>
      <c r="I419" s="549" t="s">
        <v>521</v>
      </c>
      <c r="J419" s="549" t="s">
        <v>521</v>
      </c>
      <c r="K419" s="549" t="s">
        <v>521</v>
      </c>
      <c r="L419" s="549" t="s">
        <v>521</v>
      </c>
      <c r="O419" s="304" t="s">
        <v>89</v>
      </c>
    </row>
    <row r="420" spans="3:15" x14ac:dyDescent="0.25">
      <c r="C420" s="823">
        <v>73</v>
      </c>
      <c r="D420" s="558">
        <f t="shared" si="18"/>
        <v>0</v>
      </c>
      <c r="E420" s="155" t="s">
        <v>89</v>
      </c>
      <c r="F420" s="549" t="s">
        <v>521</v>
      </c>
      <c r="G420" s="549" t="s">
        <v>521</v>
      </c>
      <c r="H420" s="549" t="s">
        <v>521</v>
      </c>
      <c r="I420" s="549" t="s">
        <v>521</v>
      </c>
      <c r="J420" s="549" t="s">
        <v>521</v>
      </c>
      <c r="K420" s="549" t="s">
        <v>521</v>
      </c>
      <c r="L420" s="549" t="s">
        <v>521</v>
      </c>
      <c r="O420" s="304" t="s">
        <v>89</v>
      </c>
    </row>
    <row r="421" spans="3:15" x14ac:dyDescent="0.25">
      <c r="C421" s="823">
        <v>74</v>
      </c>
      <c r="D421" s="558">
        <f t="shared" si="18"/>
        <v>0</v>
      </c>
      <c r="E421" s="155" t="s">
        <v>89</v>
      </c>
      <c r="F421" s="549" t="s">
        <v>521</v>
      </c>
      <c r="G421" s="549" t="s">
        <v>521</v>
      </c>
      <c r="H421" s="549" t="s">
        <v>521</v>
      </c>
      <c r="I421" s="549" t="s">
        <v>521</v>
      </c>
      <c r="J421" s="549" t="s">
        <v>521</v>
      </c>
      <c r="K421" s="549" t="s">
        <v>521</v>
      </c>
      <c r="L421" s="549" t="s">
        <v>521</v>
      </c>
      <c r="O421" s="304" t="s">
        <v>89</v>
      </c>
    </row>
    <row r="422" spans="3:15" x14ac:dyDescent="0.25">
      <c r="C422" s="823">
        <v>75</v>
      </c>
      <c r="D422" s="558">
        <f t="shared" si="18"/>
        <v>0</v>
      </c>
      <c r="E422" s="155" t="s">
        <v>89</v>
      </c>
      <c r="F422" s="549" t="s">
        <v>521</v>
      </c>
      <c r="G422" s="549" t="s">
        <v>521</v>
      </c>
      <c r="H422" s="549" t="s">
        <v>521</v>
      </c>
      <c r="I422" s="549" t="s">
        <v>521</v>
      </c>
      <c r="J422" s="549" t="s">
        <v>521</v>
      </c>
      <c r="K422" s="549" t="s">
        <v>521</v>
      </c>
      <c r="L422" s="549" t="s">
        <v>521</v>
      </c>
      <c r="O422" s="304" t="s">
        <v>89</v>
      </c>
    </row>
    <row r="423" spans="3:15" x14ac:dyDescent="0.25">
      <c r="C423" s="823">
        <v>76</v>
      </c>
      <c r="D423" s="558">
        <f t="shared" si="18"/>
        <v>0</v>
      </c>
      <c r="E423" s="155" t="s">
        <v>89</v>
      </c>
      <c r="F423" s="549" t="s">
        <v>521</v>
      </c>
      <c r="G423" s="549" t="s">
        <v>521</v>
      </c>
      <c r="H423" s="549" t="s">
        <v>521</v>
      </c>
      <c r="I423" s="549" t="s">
        <v>521</v>
      </c>
      <c r="J423" s="549" t="s">
        <v>521</v>
      </c>
      <c r="K423" s="549" t="s">
        <v>521</v>
      </c>
      <c r="L423" s="549" t="s">
        <v>521</v>
      </c>
      <c r="O423" s="304" t="s">
        <v>89</v>
      </c>
    </row>
    <row r="424" spans="3:15" x14ac:dyDescent="0.25">
      <c r="C424" s="823">
        <v>77</v>
      </c>
      <c r="D424" s="558">
        <f t="shared" si="18"/>
        <v>0</v>
      </c>
      <c r="E424" s="155" t="s">
        <v>89</v>
      </c>
      <c r="F424" s="549" t="s">
        <v>521</v>
      </c>
      <c r="G424" s="549" t="s">
        <v>521</v>
      </c>
      <c r="H424" s="549" t="s">
        <v>521</v>
      </c>
      <c r="I424" s="549" t="s">
        <v>521</v>
      </c>
      <c r="J424" s="549" t="s">
        <v>521</v>
      </c>
      <c r="K424" s="549" t="s">
        <v>521</v>
      </c>
      <c r="L424" s="549" t="s">
        <v>521</v>
      </c>
      <c r="O424" s="304" t="s">
        <v>89</v>
      </c>
    </row>
    <row r="425" spans="3:15" x14ac:dyDescent="0.25">
      <c r="C425" s="823">
        <v>78</v>
      </c>
      <c r="D425" s="558">
        <f t="shared" si="18"/>
        <v>0</v>
      </c>
      <c r="E425" s="155" t="s">
        <v>89</v>
      </c>
      <c r="F425" s="549" t="s">
        <v>521</v>
      </c>
      <c r="G425" s="549" t="s">
        <v>521</v>
      </c>
      <c r="H425" s="549" t="s">
        <v>521</v>
      </c>
      <c r="I425" s="549" t="s">
        <v>521</v>
      </c>
      <c r="J425" s="549" t="s">
        <v>521</v>
      </c>
      <c r="K425" s="549" t="s">
        <v>521</v>
      </c>
      <c r="L425" s="549" t="s">
        <v>521</v>
      </c>
      <c r="O425" s="304" t="s">
        <v>89</v>
      </c>
    </row>
    <row r="426" spans="3:15" x14ac:dyDescent="0.25">
      <c r="C426" s="823">
        <v>79</v>
      </c>
      <c r="D426" s="558">
        <f t="shared" si="18"/>
        <v>0</v>
      </c>
      <c r="E426" s="155" t="s">
        <v>89</v>
      </c>
      <c r="F426" s="549" t="s">
        <v>521</v>
      </c>
      <c r="G426" s="549" t="s">
        <v>521</v>
      </c>
      <c r="H426" s="549" t="s">
        <v>521</v>
      </c>
      <c r="I426" s="549" t="s">
        <v>521</v>
      </c>
      <c r="J426" s="549" t="s">
        <v>521</v>
      </c>
      <c r="K426" s="549" t="s">
        <v>521</v>
      </c>
      <c r="L426" s="549" t="s">
        <v>521</v>
      </c>
      <c r="O426" s="304" t="s">
        <v>89</v>
      </c>
    </row>
    <row r="427" spans="3:15" x14ac:dyDescent="0.25">
      <c r="C427" s="823">
        <v>80</v>
      </c>
      <c r="D427" s="558">
        <f t="shared" si="18"/>
        <v>0</v>
      </c>
      <c r="E427" s="155" t="s">
        <v>89</v>
      </c>
      <c r="F427" s="549" t="s">
        <v>521</v>
      </c>
      <c r="G427" s="549" t="s">
        <v>521</v>
      </c>
      <c r="H427" s="549" t="s">
        <v>521</v>
      </c>
      <c r="I427" s="549" t="s">
        <v>521</v>
      </c>
      <c r="J427" s="549" t="s">
        <v>521</v>
      </c>
      <c r="K427" s="549" t="s">
        <v>521</v>
      </c>
      <c r="L427" s="549" t="s">
        <v>521</v>
      </c>
      <c r="O427" s="304" t="s">
        <v>89</v>
      </c>
    </row>
    <row r="428" spans="3:15" x14ac:dyDescent="0.25">
      <c r="C428" s="823">
        <v>81</v>
      </c>
      <c r="D428" s="558">
        <f t="shared" si="18"/>
        <v>0</v>
      </c>
      <c r="E428" s="155" t="s">
        <v>89</v>
      </c>
      <c r="F428" s="549" t="s">
        <v>521</v>
      </c>
      <c r="G428" s="549" t="s">
        <v>521</v>
      </c>
      <c r="H428" s="549" t="s">
        <v>521</v>
      </c>
      <c r="I428" s="549" t="s">
        <v>521</v>
      </c>
      <c r="J428" s="549" t="s">
        <v>521</v>
      </c>
      <c r="K428" s="549" t="s">
        <v>521</v>
      </c>
      <c r="L428" s="549" t="s">
        <v>521</v>
      </c>
      <c r="O428" s="304" t="s">
        <v>89</v>
      </c>
    </row>
    <row r="429" spans="3:15" x14ac:dyDescent="0.25">
      <c r="C429" s="823">
        <v>82</v>
      </c>
      <c r="D429" s="558">
        <f t="shared" si="18"/>
        <v>0</v>
      </c>
      <c r="E429" s="155" t="s">
        <v>89</v>
      </c>
      <c r="F429" s="549" t="s">
        <v>521</v>
      </c>
      <c r="G429" s="549" t="s">
        <v>521</v>
      </c>
      <c r="H429" s="549" t="s">
        <v>521</v>
      </c>
      <c r="I429" s="549" t="s">
        <v>521</v>
      </c>
      <c r="J429" s="549" t="s">
        <v>521</v>
      </c>
      <c r="K429" s="549" t="s">
        <v>521</v>
      </c>
      <c r="L429" s="549" t="s">
        <v>521</v>
      </c>
      <c r="O429" s="304" t="s">
        <v>89</v>
      </c>
    </row>
    <row r="430" spans="3:15" x14ac:dyDescent="0.25">
      <c r="C430" s="823">
        <v>83</v>
      </c>
      <c r="D430" s="558">
        <f t="shared" si="18"/>
        <v>0</v>
      </c>
      <c r="E430" s="155" t="s">
        <v>89</v>
      </c>
      <c r="F430" s="549" t="s">
        <v>521</v>
      </c>
      <c r="G430" s="549" t="s">
        <v>521</v>
      </c>
      <c r="H430" s="549" t="s">
        <v>521</v>
      </c>
      <c r="I430" s="549" t="s">
        <v>521</v>
      </c>
      <c r="J430" s="549" t="s">
        <v>521</v>
      </c>
      <c r="K430" s="549" t="s">
        <v>521</v>
      </c>
      <c r="L430" s="549" t="s">
        <v>521</v>
      </c>
      <c r="O430" s="304" t="s">
        <v>89</v>
      </c>
    </row>
    <row r="431" spans="3:15" x14ac:dyDescent="0.25">
      <c r="C431" s="823">
        <v>84</v>
      </c>
      <c r="D431" s="558">
        <f t="shared" si="18"/>
        <v>0</v>
      </c>
      <c r="E431" s="155" t="s">
        <v>89</v>
      </c>
      <c r="F431" s="549" t="s">
        <v>521</v>
      </c>
      <c r="G431" s="549" t="s">
        <v>521</v>
      </c>
      <c r="H431" s="549" t="s">
        <v>521</v>
      </c>
      <c r="I431" s="549" t="s">
        <v>521</v>
      </c>
      <c r="J431" s="549" t="s">
        <v>521</v>
      </c>
      <c r="K431" s="549" t="s">
        <v>521</v>
      </c>
      <c r="L431" s="549" t="s">
        <v>521</v>
      </c>
      <c r="O431" s="304" t="s">
        <v>89</v>
      </c>
    </row>
    <row r="432" spans="3:15" x14ac:dyDescent="0.25">
      <c r="C432" s="823">
        <v>85</v>
      </c>
      <c r="D432" s="558">
        <f t="shared" si="18"/>
        <v>0</v>
      </c>
      <c r="E432" s="155" t="s">
        <v>89</v>
      </c>
      <c r="F432" s="549" t="s">
        <v>521</v>
      </c>
      <c r="G432" s="549" t="s">
        <v>521</v>
      </c>
      <c r="H432" s="549" t="s">
        <v>521</v>
      </c>
      <c r="I432" s="549" t="s">
        <v>521</v>
      </c>
      <c r="J432" s="549" t="s">
        <v>521</v>
      </c>
      <c r="K432" s="549" t="s">
        <v>521</v>
      </c>
      <c r="L432" s="549" t="s">
        <v>521</v>
      </c>
      <c r="O432" s="304" t="s">
        <v>89</v>
      </c>
    </row>
    <row r="433" spans="3:15" x14ac:dyDescent="0.25">
      <c r="C433" s="823">
        <v>86</v>
      </c>
      <c r="D433" s="558">
        <f t="shared" si="18"/>
        <v>0</v>
      </c>
      <c r="E433" s="155" t="s">
        <v>89</v>
      </c>
      <c r="F433" s="549" t="s">
        <v>521</v>
      </c>
      <c r="G433" s="549" t="s">
        <v>521</v>
      </c>
      <c r="H433" s="549" t="s">
        <v>521</v>
      </c>
      <c r="I433" s="549" t="s">
        <v>521</v>
      </c>
      <c r="J433" s="549" t="s">
        <v>521</v>
      </c>
      <c r="K433" s="549" t="s">
        <v>521</v>
      </c>
      <c r="L433" s="549" t="s">
        <v>521</v>
      </c>
      <c r="O433" s="304" t="s">
        <v>89</v>
      </c>
    </row>
    <row r="434" spans="3:15" x14ac:dyDescent="0.25">
      <c r="C434" s="823">
        <v>87</v>
      </c>
      <c r="D434" s="558">
        <f t="shared" si="18"/>
        <v>0</v>
      </c>
      <c r="E434" s="155" t="s">
        <v>89</v>
      </c>
      <c r="F434" s="549" t="s">
        <v>521</v>
      </c>
      <c r="G434" s="549" t="s">
        <v>521</v>
      </c>
      <c r="H434" s="549" t="s">
        <v>521</v>
      </c>
      <c r="I434" s="549" t="s">
        <v>521</v>
      </c>
      <c r="J434" s="549" t="s">
        <v>521</v>
      </c>
      <c r="K434" s="549" t="s">
        <v>521</v>
      </c>
      <c r="L434" s="549" t="s">
        <v>521</v>
      </c>
      <c r="O434" s="304" t="s">
        <v>89</v>
      </c>
    </row>
    <row r="435" spans="3:15" x14ac:dyDescent="0.25">
      <c r="C435" s="823">
        <v>88</v>
      </c>
      <c r="D435" s="558">
        <f t="shared" si="18"/>
        <v>0</v>
      </c>
      <c r="E435" s="155" t="s">
        <v>89</v>
      </c>
      <c r="F435" s="549" t="s">
        <v>521</v>
      </c>
      <c r="G435" s="549" t="s">
        <v>521</v>
      </c>
      <c r="H435" s="549" t="s">
        <v>521</v>
      </c>
      <c r="I435" s="549" t="s">
        <v>521</v>
      </c>
      <c r="J435" s="549" t="s">
        <v>521</v>
      </c>
      <c r="K435" s="549" t="s">
        <v>521</v>
      </c>
      <c r="L435" s="549" t="s">
        <v>521</v>
      </c>
      <c r="O435" s="304" t="s">
        <v>89</v>
      </c>
    </row>
    <row r="436" spans="3:15" x14ac:dyDescent="0.25">
      <c r="C436" s="823">
        <v>89</v>
      </c>
      <c r="D436" s="558">
        <f t="shared" si="18"/>
        <v>0</v>
      </c>
      <c r="E436" s="155" t="s">
        <v>89</v>
      </c>
      <c r="F436" s="549" t="s">
        <v>521</v>
      </c>
      <c r="G436" s="549" t="s">
        <v>521</v>
      </c>
      <c r="H436" s="549" t="s">
        <v>521</v>
      </c>
      <c r="I436" s="549" t="s">
        <v>521</v>
      </c>
      <c r="J436" s="549" t="s">
        <v>521</v>
      </c>
      <c r="K436" s="549" t="s">
        <v>521</v>
      </c>
      <c r="L436" s="549" t="s">
        <v>521</v>
      </c>
      <c r="O436" s="304" t="s">
        <v>89</v>
      </c>
    </row>
    <row r="437" spans="3:15" x14ac:dyDescent="0.25">
      <c r="C437" s="824" t="s">
        <v>509</v>
      </c>
      <c r="D437" s="559">
        <f t="shared" si="18"/>
        <v>0</v>
      </c>
      <c r="E437" s="161" t="s">
        <v>89</v>
      </c>
      <c r="F437" s="550" t="s">
        <v>521</v>
      </c>
      <c r="G437" s="550" t="s">
        <v>521</v>
      </c>
      <c r="H437" s="550" t="s">
        <v>521</v>
      </c>
      <c r="I437" s="550" t="s">
        <v>521</v>
      </c>
      <c r="J437" s="550" t="s">
        <v>521</v>
      </c>
      <c r="K437" s="550" t="s">
        <v>521</v>
      </c>
      <c r="L437" s="550" t="s">
        <v>521</v>
      </c>
      <c r="O437" s="304" t="s">
        <v>89</v>
      </c>
    </row>
    <row r="438" spans="3:15" x14ac:dyDescent="0.25">
      <c r="O438" s="304" t="s">
        <v>89</v>
      </c>
    </row>
    <row r="439" spans="3:15" x14ac:dyDescent="0.25">
      <c r="F439" s="241"/>
      <c r="G439" s="241"/>
      <c r="O439" s="304" t="s">
        <v>89</v>
      </c>
    </row>
    <row r="440" spans="3:15" x14ac:dyDescent="0.25">
      <c r="C440" s="181" t="s">
        <v>698</v>
      </c>
      <c r="D440" s="695" t="s">
        <v>514</v>
      </c>
      <c r="E440" s="157" t="s">
        <v>89</v>
      </c>
      <c r="F440" s="695" t="s">
        <v>658</v>
      </c>
      <c r="G440" s="695" t="s">
        <v>532</v>
      </c>
      <c r="H440" s="695" t="s">
        <v>659</v>
      </c>
      <c r="I440" s="695" t="s">
        <v>534</v>
      </c>
      <c r="O440" s="304" t="s">
        <v>89</v>
      </c>
    </row>
    <row r="441" spans="3:15" x14ac:dyDescent="0.25">
      <c r="C441" s="821" t="s">
        <v>707</v>
      </c>
      <c r="D441" s="451">
        <f>SUM(F441:I441)</f>
        <v>0</v>
      </c>
      <c r="E441" s="161" t="s">
        <v>89</v>
      </c>
      <c r="F441" s="451">
        <f>SUM(M16)</f>
        <v>0</v>
      </c>
      <c r="G441" s="451">
        <f>SUM(M13)</f>
        <v>0</v>
      </c>
      <c r="H441" s="451">
        <f>SUM(M14)</f>
        <v>0</v>
      </c>
      <c r="I441" s="885">
        <f>SUM(M15)</f>
        <v>0</v>
      </c>
      <c r="O441" s="304" t="s">
        <v>89</v>
      </c>
    </row>
    <row r="442" spans="3:15" ht="15.75" thickBot="1" x14ac:dyDescent="0.3">
      <c r="C442" s="241"/>
      <c r="D442" s="241"/>
      <c r="F442" s="241"/>
      <c r="G442" s="241"/>
      <c r="I442" s="241"/>
      <c r="O442" s="304" t="s">
        <v>89</v>
      </c>
    </row>
    <row r="443" spans="3:15" ht="15.75" thickBot="1" x14ac:dyDescent="0.3">
      <c r="C443" s="241"/>
      <c r="D443" s="241"/>
      <c r="F443" s="241"/>
      <c r="G443" s="241"/>
      <c r="I443" s="825" t="s">
        <v>534</v>
      </c>
      <c r="J443" s="826"/>
      <c r="K443" s="827"/>
      <c r="L443" s="825" t="s">
        <v>675</v>
      </c>
      <c r="M443" s="826"/>
      <c r="N443" s="827"/>
      <c r="O443" s="304" t="s">
        <v>89</v>
      </c>
    </row>
    <row r="444" spans="3:15" x14ac:dyDescent="0.25">
      <c r="C444" s="311" t="s">
        <v>41</v>
      </c>
      <c r="D444" s="695" t="s">
        <v>514</v>
      </c>
      <c r="E444" s="307" t="s">
        <v>89</v>
      </c>
      <c r="F444" s="695" t="s">
        <v>658</v>
      </c>
      <c r="G444" s="695" t="s">
        <v>532</v>
      </c>
      <c r="H444" s="695" t="s">
        <v>659</v>
      </c>
      <c r="I444" s="695" t="s">
        <v>514</v>
      </c>
      <c r="J444" s="695" t="s">
        <v>536</v>
      </c>
      <c r="K444" s="695" t="s">
        <v>660</v>
      </c>
      <c r="L444" s="695" t="s">
        <v>514</v>
      </c>
      <c r="M444" s="695" t="s">
        <v>536</v>
      </c>
      <c r="N444" s="695" t="s">
        <v>660</v>
      </c>
      <c r="O444" s="304" t="s">
        <v>89</v>
      </c>
    </row>
    <row r="445" spans="3:15" x14ac:dyDescent="0.25">
      <c r="C445" s="828">
        <v>1</v>
      </c>
      <c r="D445" s="557">
        <f>SUM(F445:I445)</f>
        <v>0</v>
      </c>
      <c r="E445" s="304" t="s">
        <v>89</v>
      </c>
      <c r="F445" s="560" t="s">
        <v>521</v>
      </c>
      <c r="G445" s="560" t="s">
        <v>521</v>
      </c>
      <c r="H445" s="560" t="s">
        <v>521</v>
      </c>
      <c r="I445" s="886">
        <f>SUM(J445:K445)</f>
        <v>0</v>
      </c>
      <c r="J445" s="886">
        <v>0</v>
      </c>
      <c r="K445" s="886">
        <v>0</v>
      </c>
      <c r="L445" s="886">
        <f>SUM(M445:N445)</f>
        <v>0</v>
      </c>
      <c r="M445" s="886">
        <v>0</v>
      </c>
      <c r="N445" s="886">
        <v>0</v>
      </c>
      <c r="O445" s="304" t="s">
        <v>89</v>
      </c>
    </row>
    <row r="446" spans="3:15" x14ac:dyDescent="0.25">
      <c r="C446" s="828">
        <v>2</v>
      </c>
      <c r="D446" s="558">
        <f t="shared" ref="D446:D509" si="19">SUM(F446:I446)</f>
        <v>0</v>
      </c>
      <c r="E446" s="304" t="s">
        <v>89</v>
      </c>
      <c r="F446" s="561" t="s">
        <v>521</v>
      </c>
      <c r="G446" s="561" t="s">
        <v>521</v>
      </c>
      <c r="H446" s="561" t="s">
        <v>521</v>
      </c>
      <c r="I446" s="887">
        <f t="shared" ref="I446:I509" si="20">SUM(J446:K446)</f>
        <v>0</v>
      </c>
      <c r="J446" s="887">
        <v>0</v>
      </c>
      <c r="K446" s="887">
        <v>0</v>
      </c>
      <c r="L446" s="887">
        <f t="shared" ref="L446:L509" si="21">SUM(M446:N446)</f>
        <v>0</v>
      </c>
      <c r="M446" s="887">
        <v>0</v>
      </c>
      <c r="N446" s="887">
        <v>0</v>
      </c>
      <c r="O446" s="304" t="s">
        <v>89</v>
      </c>
    </row>
    <row r="447" spans="3:15" x14ac:dyDescent="0.25">
      <c r="C447" s="828">
        <v>3</v>
      </c>
      <c r="D447" s="558">
        <f t="shared" si="19"/>
        <v>0</v>
      </c>
      <c r="E447" s="304" t="s">
        <v>89</v>
      </c>
      <c r="F447" s="561" t="s">
        <v>521</v>
      </c>
      <c r="G447" s="561" t="s">
        <v>521</v>
      </c>
      <c r="H447" s="561" t="s">
        <v>521</v>
      </c>
      <c r="I447" s="887">
        <f t="shared" si="20"/>
        <v>0</v>
      </c>
      <c r="J447" s="887">
        <v>0</v>
      </c>
      <c r="K447" s="887">
        <v>0</v>
      </c>
      <c r="L447" s="887">
        <f t="shared" si="21"/>
        <v>0</v>
      </c>
      <c r="M447" s="887">
        <v>0</v>
      </c>
      <c r="N447" s="887">
        <v>0</v>
      </c>
      <c r="O447" s="304" t="s">
        <v>89</v>
      </c>
    </row>
    <row r="448" spans="3:15" x14ac:dyDescent="0.25">
      <c r="C448" s="828">
        <v>4</v>
      </c>
      <c r="D448" s="558">
        <f t="shared" si="19"/>
        <v>0</v>
      </c>
      <c r="E448" s="304" t="s">
        <v>89</v>
      </c>
      <c r="F448" s="561" t="s">
        <v>521</v>
      </c>
      <c r="G448" s="561" t="s">
        <v>521</v>
      </c>
      <c r="H448" s="561" t="s">
        <v>521</v>
      </c>
      <c r="I448" s="887">
        <f t="shared" si="20"/>
        <v>0</v>
      </c>
      <c r="J448" s="887">
        <v>0</v>
      </c>
      <c r="K448" s="887">
        <v>0</v>
      </c>
      <c r="L448" s="887">
        <f t="shared" si="21"/>
        <v>0</v>
      </c>
      <c r="M448" s="887">
        <v>0</v>
      </c>
      <c r="N448" s="887">
        <v>0</v>
      </c>
      <c r="O448" s="304" t="s">
        <v>89</v>
      </c>
    </row>
    <row r="449" spans="3:15" x14ac:dyDescent="0.25">
      <c r="C449" s="828">
        <v>5</v>
      </c>
      <c r="D449" s="558">
        <f t="shared" si="19"/>
        <v>0</v>
      </c>
      <c r="E449" s="304" t="s">
        <v>89</v>
      </c>
      <c r="F449" s="561" t="s">
        <v>521</v>
      </c>
      <c r="G449" s="561" t="s">
        <v>521</v>
      </c>
      <c r="H449" s="561" t="s">
        <v>521</v>
      </c>
      <c r="I449" s="887">
        <f t="shared" si="20"/>
        <v>0</v>
      </c>
      <c r="J449" s="887">
        <v>0</v>
      </c>
      <c r="K449" s="887">
        <v>0</v>
      </c>
      <c r="L449" s="887">
        <f t="shared" si="21"/>
        <v>0</v>
      </c>
      <c r="M449" s="887">
        <v>0</v>
      </c>
      <c r="N449" s="887">
        <v>0</v>
      </c>
      <c r="O449" s="304" t="s">
        <v>89</v>
      </c>
    </row>
    <row r="450" spans="3:15" x14ac:dyDescent="0.25">
      <c r="C450" s="828">
        <v>6</v>
      </c>
      <c r="D450" s="558">
        <f t="shared" si="19"/>
        <v>0</v>
      </c>
      <c r="E450" s="304" t="s">
        <v>89</v>
      </c>
      <c r="F450" s="561" t="s">
        <v>521</v>
      </c>
      <c r="G450" s="561" t="s">
        <v>521</v>
      </c>
      <c r="H450" s="561" t="s">
        <v>521</v>
      </c>
      <c r="I450" s="887">
        <f t="shared" si="20"/>
        <v>0</v>
      </c>
      <c r="J450" s="887">
        <v>0</v>
      </c>
      <c r="K450" s="887">
        <v>0</v>
      </c>
      <c r="L450" s="887">
        <f t="shared" si="21"/>
        <v>0</v>
      </c>
      <c r="M450" s="887">
        <v>0</v>
      </c>
      <c r="N450" s="887">
        <v>0</v>
      </c>
      <c r="O450" s="304" t="s">
        <v>89</v>
      </c>
    </row>
    <row r="451" spans="3:15" x14ac:dyDescent="0.25">
      <c r="C451" s="828">
        <v>7</v>
      </c>
      <c r="D451" s="558">
        <f t="shared" si="19"/>
        <v>0</v>
      </c>
      <c r="E451" s="304" t="s">
        <v>89</v>
      </c>
      <c r="F451" s="561" t="s">
        <v>521</v>
      </c>
      <c r="G451" s="561" t="s">
        <v>521</v>
      </c>
      <c r="H451" s="561" t="s">
        <v>521</v>
      </c>
      <c r="I451" s="887">
        <f t="shared" si="20"/>
        <v>0</v>
      </c>
      <c r="J451" s="887">
        <v>0</v>
      </c>
      <c r="K451" s="887">
        <v>0</v>
      </c>
      <c r="L451" s="887">
        <f t="shared" si="21"/>
        <v>0</v>
      </c>
      <c r="M451" s="887">
        <v>0</v>
      </c>
      <c r="N451" s="887">
        <v>0</v>
      </c>
      <c r="O451" s="304" t="s">
        <v>89</v>
      </c>
    </row>
    <row r="452" spans="3:15" x14ac:dyDescent="0.25">
      <c r="C452" s="828">
        <v>8</v>
      </c>
      <c r="D452" s="558">
        <f t="shared" si="19"/>
        <v>0</v>
      </c>
      <c r="E452" s="304" t="s">
        <v>89</v>
      </c>
      <c r="F452" s="561" t="s">
        <v>521</v>
      </c>
      <c r="G452" s="561" t="s">
        <v>521</v>
      </c>
      <c r="H452" s="561" t="s">
        <v>521</v>
      </c>
      <c r="I452" s="887">
        <f t="shared" si="20"/>
        <v>0</v>
      </c>
      <c r="J452" s="887">
        <v>0</v>
      </c>
      <c r="K452" s="887">
        <v>0</v>
      </c>
      <c r="L452" s="887">
        <f t="shared" si="21"/>
        <v>0</v>
      </c>
      <c r="M452" s="887">
        <v>0</v>
      </c>
      <c r="N452" s="887">
        <v>0</v>
      </c>
      <c r="O452" s="304" t="s">
        <v>89</v>
      </c>
    </row>
    <row r="453" spans="3:15" x14ac:dyDescent="0.25">
      <c r="C453" s="828">
        <v>9</v>
      </c>
      <c r="D453" s="558">
        <f t="shared" si="19"/>
        <v>0</v>
      </c>
      <c r="E453" s="304" t="s">
        <v>89</v>
      </c>
      <c r="F453" s="561" t="s">
        <v>521</v>
      </c>
      <c r="G453" s="561" t="s">
        <v>521</v>
      </c>
      <c r="H453" s="561" t="s">
        <v>521</v>
      </c>
      <c r="I453" s="887">
        <f t="shared" si="20"/>
        <v>0</v>
      </c>
      <c r="J453" s="887">
        <v>0</v>
      </c>
      <c r="K453" s="887">
        <v>0</v>
      </c>
      <c r="L453" s="887">
        <f t="shared" si="21"/>
        <v>0</v>
      </c>
      <c r="M453" s="887">
        <v>0</v>
      </c>
      <c r="N453" s="887">
        <v>0</v>
      </c>
      <c r="O453" s="304" t="s">
        <v>89</v>
      </c>
    </row>
    <row r="454" spans="3:15" x14ac:dyDescent="0.25">
      <c r="C454" s="828">
        <v>10</v>
      </c>
      <c r="D454" s="558">
        <f t="shared" si="19"/>
        <v>0</v>
      </c>
      <c r="E454" s="304" t="s">
        <v>89</v>
      </c>
      <c r="F454" s="561" t="s">
        <v>521</v>
      </c>
      <c r="G454" s="561" t="s">
        <v>521</v>
      </c>
      <c r="H454" s="561" t="s">
        <v>521</v>
      </c>
      <c r="I454" s="887">
        <f t="shared" si="20"/>
        <v>0</v>
      </c>
      <c r="J454" s="887">
        <v>0</v>
      </c>
      <c r="K454" s="887">
        <v>0</v>
      </c>
      <c r="L454" s="887">
        <f t="shared" si="21"/>
        <v>0</v>
      </c>
      <c r="M454" s="887">
        <v>0</v>
      </c>
      <c r="N454" s="887">
        <v>0</v>
      </c>
      <c r="O454" s="304" t="s">
        <v>89</v>
      </c>
    </row>
    <row r="455" spans="3:15" x14ac:dyDescent="0.25">
      <c r="C455" s="828">
        <v>11</v>
      </c>
      <c r="D455" s="558">
        <f t="shared" si="19"/>
        <v>0</v>
      </c>
      <c r="E455" s="304" t="s">
        <v>89</v>
      </c>
      <c r="F455" s="561" t="s">
        <v>521</v>
      </c>
      <c r="G455" s="561" t="s">
        <v>521</v>
      </c>
      <c r="H455" s="561" t="s">
        <v>521</v>
      </c>
      <c r="I455" s="887">
        <f t="shared" si="20"/>
        <v>0</v>
      </c>
      <c r="J455" s="887">
        <v>0</v>
      </c>
      <c r="K455" s="887">
        <v>0</v>
      </c>
      <c r="L455" s="887">
        <f t="shared" si="21"/>
        <v>0</v>
      </c>
      <c r="M455" s="887">
        <v>0</v>
      </c>
      <c r="N455" s="887">
        <v>0</v>
      </c>
      <c r="O455" s="304" t="s">
        <v>89</v>
      </c>
    </row>
    <row r="456" spans="3:15" x14ac:dyDescent="0.25">
      <c r="C456" s="828">
        <v>12</v>
      </c>
      <c r="D456" s="558">
        <f t="shared" si="19"/>
        <v>0</v>
      </c>
      <c r="E456" s="304" t="s">
        <v>89</v>
      </c>
      <c r="F456" s="561" t="s">
        <v>521</v>
      </c>
      <c r="G456" s="561" t="s">
        <v>521</v>
      </c>
      <c r="H456" s="561" t="s">
        <v>521</v>
      </c>
      <c r="I456" s="887">
        <f t="shared" si="20"/>
        <v>0</v>
      </c>
      <c r="J456" s="887">
        <v>0</v>
      </c>
      <c r="K456" s="887">
        <v>0</v>
      </c>
      <c r="L456" s="887">
        <f t="shared" si="21"/>
        <v>0</v>
      </c>
      <c r="M456" s="887">
        <v>0</v>
      </c>
      <c r="N456" s="887">
        <v>0</v>
      </c>
      <c r="O456" s="304" t="s">
        <v>89</v>
      </c>
    </row>
    <row r="457" spans="3:15" x14ac:dyDescent="0.25">
      <c r="C457" s="828">
        <v>13</v>
      </c>
      <c r="D457" s="558">
        <f t="shared" si="19"/>
        <v>0</v>
      </c>
      <c r="E457" s="304" t="s">
        <v>89</v>
      </c>
      <c r="F457" s="561" t="s">
        <v>521</v>
      </c>
      <c r="G457" s="561" t="s">
        <v>521</v>
      </c>
      <c r="H457" s="561" t="s">
        <v>521</v>
      </c>
      <c r="I457" s="887">
        <f t="shared" si="20"/>
        <v>0</v>
      </c>
      <c r="J457" s="887">
        <v>0</v>
      </c>
      <c r="K457" s="887">
        <v>0</v>
      </c>
      <c r="L457" s="887">
        <f t="shared" si="21"/>
        <v>0</v>
      </c>
      <c r="M457" s="887">
        <v>0</v>
      </c>
      <c r="N457" s="887">
        <v>0</v>
      </c>
      <c r="O457" s="304" t="s">
        <v>89</v>
      </c>
    </row>
    <row r="458" spans="3:15" x14ac:dyDescent="0.25">
      <c r="C458" s="828">
        <v>14</v>
      </c>
      <c r="D458" s="558">
        <f t="shared" si="19"/>
        <v>0</v>
      </c>
      <c r="E458" s="304" t="s">
        <v>89</v>
      </c>
      <c r="F458" s="561" t="s">
        <v>521</v>
      </c>
      <c r="G458" s="561" t="s">
        <v>521</v>
      </c>
      <c r="H458" s="561" t="s">
        <v>521</v>
      </c>
      <c r="I458" s="887">
        <f t="shared" si="20"/>
        <v>0</v>
      </c>
      <c r="J458" s="887">
        <v>0</v>
      </c>
      <c r="K458" s="887">
        <v>0</v>
      </c>
      <c r="L458" s="887">
        <f t="shared" si="21"/>
        <v>0</v>
      </c>
      <c r="M458" s="887">
        <v>0</v>
      </c>
      <c r="N458" s="887">
        <v>0</v>
      </c>
      <c r="O458" s="304" t="s">
        <v>89</v>
      </c>
    </row>
    <row r="459" spans="3:15" x14ac:dyDescent="0.25">
      <c r="C459" s="828">
        <v>15</v>
      </c>
      <c r="D459" s="558">
        <f t="shared" si="19"/>
        <v>0</v>
      </c>
      <c r="E459" s="304" t="s">
        <v>89</v>
      </c>
      <c r="F459" s="561" t="s">
        <v>521</v>
      </c>
      <c r="G459" s="561" t="s">
        <v>521</v>
      </c>
      <c r="H459" s="561" t="s">
        <v>521</v>
      </c>
      <c r="I459" s="887">
        <f t="shared" si="20"/>
        <v>0</v>
      </c>
      <c r="J459" s="887">
        <v>0</v>
      </c>
      <c r="K459" s="887">
        <v>0</v>
      </c>
      <c r="L459" s="887">
        <f t="shared" si="21"/>
        <v>0</v>
      </c>
      <c r="M459" s="887">
        <v>0</v>
      </c>
      <c r="N459" s="887">
        <v>0</v>
      </c>
      <c r="O459" s="304" t="s">
        <v>89</v>
      </c>
    </row>
    <row r="460" spans="3:15" x14ac:dyDescent="0.25">
      <c r="C460" s="828">
        <v>16</v>
      </c>
      <c r="D460" s="558">
        <f t="shared" si="19"/>
        <v>0</v>
      </c>
      <c r="E460" s="304" t="s">
        <v>89</v>
      </c>
      <c r="F460" s="561" t="s">
        <v>521</v>
      </c>
      <c r="G460" s="561" t="s">
        <v>521</v>
      </c>
      <c r="H460" s="561" t="s">
        <v>521</v>
      </c>
      <c r="I460" s="887">
        <f t="shared" si="20"/>
        <v>0</v>
      </c>
      <c r="J460" s="887">
        <v>0</v>
      </c>
      <c r="K460" s="887">
        <v>0</v>
      </c>
      <c r="L460" s="887">
        <f t="shared" si="21"/>
        <v>0</v>
      </c>
      <c r="M460" s="887">
        <v>0</v>
      </c>
      <c r="N460" s="887">
        <v>0</v>
      </c>
      <c r="O460" s="304" t="s">
        <v>89</v>
      </c>
    </row>
    <row r="461" spans="3:15" x14ac:dyDescent="0.25">
      <c r="C461" s="828">
        <v>17</v>
      </c>
      <c r="D461" s="558">
        <f t="shared" si="19"/>
        <v>0</v>
      </c>
      <c r="E461" s="304" t="s">
        <v>89</v>
      </c>
      <c r="F461" s="561" t="s">
        <v>521</v>
      </c>
      <c r="G461" s="561" t="s">
        <v>521</v>
      </c>
      <c r="H461" s="561" t="s">
        <v>521</v>
      </c>
      <c r="I461" s="887">
        <f t="shared" si="20"/>
        <v>0</v>
      </c>
      <c r="J461" s="887">
        <v>0</v>
      </c>
      <c r="K461" s="887">
        <v>0</v>
      </c>
      <c r="L461" s="887">
        <f t="shared" si="21"/>
        <v>0</v>
      </c>
      <c r="M461" s="887">
        <v>0</v>
      </c>
      <c r="N461" s="887">
        <v>0</v>
      </c>
      <c r="O461" s="304" t="s">
        <v>89</v>
      </c>
    </row>
    <row r="462" spans="3:15" x14ac:dyDescent="0.25">
      <c r="C462" s="828">
        <v>18</v>
      </c>
      <c r="D462" s="558">
        <f t="shared" si="19"/>
        <v>0</v>
      </c>
      <c r="E462" s="304" t="s">
        <v>89</v>
      </c>
      <c r="F462" s="561" t="s">
        <v>521</v>
      </c>
      <c r="G462" s="561" t="s">
        <v>521</v>
      </c>
      <c r="H462" s="561" t="s">
        <v>521</v>
      </c>
      <c r="I462" s="887">
        <f t="shared" si="20"/>
        <v>0</v>
      </c>
      <c r="J462" s="887">
        <v>0</v>
      </c>
      <c r="K462" s="887">
        <v>0</v>
      </c>
      <c r="L462" s="887">
        <f t="shared" si="21"/>
        <v>0</v>
      </c>
      <c r="M462" s="887">
        <v>0</v>
      </c>
      <c r="N462" s="887">
        <v>0</v>
      </c>
      <c r="O462" s="304" t="s">
        <v>89</v>
      </c>
    </row>
    <row r="463" spans="3:15" x14ac:dyDescent="0.25">
      <c r="C463" s="828">
        <v>19</v>
      </c>
      <c r="D463" s="558">
        <f t="shared" si="19"/>
        <v>0</v>
      </c>
      <c r="E463" s="304" t="s">
        <v>89</v>
      </c>
      <c r="F463" s="561" t="s">
        <v>521</v>
      </c>
      <c r="G463" s="561" t="s">
        <v>521</v>
      </c>
      <c r="H463" s="561" t="s">
        <v>521</v>
      </c>
      <c r="I463" s="887">
        <f t="shared" si="20"/>
        <v>0</v>
      </c>
      <c r="J463" s="887">
        <v>0</v>
      </c>
      <c r="K463" s="887">
        <v>0</v>
      </c>
      <c r="L463" s="887">
        <f t="shared" si="21"/>
        <v>0</v>
      </c>
      <c r="M463" s="887">
        <v>0</v>
      </c>
      <c r="N463" s="887">
        <v>0</v>
      </c>
      <c r="O463" s="304" t="s">
        <v>89</v>
      </c>
    </row>
    <row r="464" spans="3:15" x14ac:dyDescent="0.25">
      <c r="C464" s="828">
        <v>20</v>
      </c>
      <c r="D464" s="558">
        <f t="shared" si="19"/>
        <v>0</v>
      </c>
      <c r="E464" s="304" t="s">
        <v>89</v>
      </c>
      <c r="F464" s="561" t="s">
        <v>521</v>
      </c>
      <c r="G464" s="561" t="s">
        <v>521</v>
      </c>
      <c r="H464" s="561" t="s">
        <v>521</v>
      </c>
      <c r="I464" s="887">
        <f t="shared" si="20"/>
        <v>0</v>
      </c>
      <c r="J464" s="887">
        <v>0</v>
      </c>
      <c r="K464" s="887">
        <v>0</v>
      </c>
      <c r="L464" s="887">
        <f t="shared" si="21"/>
        <v>0</v>
      </c>
      <c r="M464" s="887">
        <v>0</v>
      </c>
      <c r="N464" s="887">
        <v>0</v>
      </c>
      <c r="O464" s="304" t="s">
        <v>89</v>
      </c>
    </row>
    <row r="465" spans="3:15" x14ac:dyDescent="0.25">
      <c r="C465" s="828">
        <v>21</v>
      </c>
      <c r="D465" s="558">
        <f t="shared" si="19"/>
        <v>0</v>
      </c>
      <c r="E465" s="304" t="s">
        <v>89</v>
      </c>
      <c r="F465" s="561" t="s">
        <v>521</v>
      </c>
      <c r="G465" s="561" t="s">
        <v>521</v>
      </c>
      <c r="H465" s="561" t="s">
        <v>521</v>
      </c>
      <c r="I465" s="887">
        <f t="shared" si="20"/>
        <v>0</v>
      </c>
      <c r="J465" s="887">
        <v>0</v>
      </c>
      <c r="K465" s="887">
        <v>0</v>
      </c>
      <c r="L465" s="887">
        <f t="shared" si="21"/>
        <v>0</v>
      </c>
      <c r="M465" s="887">
        <v>0</v>
      </c>
      <c r="N465" s="887">
        <v>0</v>
      </c>
      <c r="O465" s="304" t="s">
        <v>89</v>
      </c>
    </row>
    <row r="466" spans="3:15" x14ac:dyDescent="0.25">
      <c r="C466" s="828">
        <v>22</v>
      </c>
      <c r="D466" s="558">
        <f t="shared" si="19"/>
        <v>0</v>
      </c>
      <c r="E466" s="304" t="s">
        <v>89</v>
      </c>
      <c r="F466" s="561" t="s">
        <v>521</v>
      </c>
      <c r="G466" s="561" t="s">
        <v>521</v>
      </c>
      <c r="H466" s="561" t="s">
        <v>521</v>
      </c>
      <c r="I466" s="887">
        <f t="shared" si="20"/>
        <v>0</v>
      </c>
      <c r="J466" s="887">
        <v>0</v>
      </c>
      <c r="K466" s="887">
        <v>0</v>
      </c>
      <c r="L466" s="887">
        <f t="shared" si="21"/>
        <v>0</v>
      </c>
      <c r="M466" s="887">
        <v>0</v>
      </c>
      <c r="N466" s="887">
        <v>0</v>
      </c>
      <c r="O466" s="304" t="s">
        <v>89</v>
      </c>
    </row>
    <row r="467" spans="3:15" x14ac:dyDescent="0.25">
      <c r="C467" s="828">
        <v>23</v>
      </c>
      <c r="D467" s="558">
        <f t="shared" si="19"/>
        <v>0</v>
      </c>
      <c r="E467" s="304" t="s">
        <v>89</v>
      </c>
      <c r="F467" s="561" t="s">
        <v>521</v>
      </c>
      <c r="G467" s="561" t="s">
        <v>521</v>
      </c>
      <c r="H467" s="561" t="s">
        <v>521</v>
      </c>
      <c r="I467" s="887">
        <f t="shared" si="20"/>
        <v>0</v>
      </c>
      <c r="J467" s="887">
        <v>0</v>
      </c>
      <c r="K467" s="887">
        <v>0</v>
      </c>
      <c r="L467" s="887">
        <f t="shared" si="21"/>
        <v>0</v>
      </c>
      <c r="M467" s="887">
        <v>0</v>
      </c>
      <c r="N467" s="887">
        <v>0</v>
      </c>
      <c r="O467" s="304" t="s">
        <v>89</v>
      </c>
    </row>
    <row r="468" spans="3:15" x14ac:dyDescent="0.25">
      <c r="C468" s="828">
        <v>24</v>
      </c>
      <c r="D468" s="558">
        <f t="shared" si="19"/>
        <v>0</v>
      </c>
      <c r="E468" s="304" t="s">
        <v>89</v>
      </c>
      <c r="F468" s="561" t="s">
        <v>521</v>
      </c>
      <c r="G468" s="561" t="s">
        <v>521</v>
      </c>
      <c r="H468" s="561" t="s">
        <v>521</v>
      </c>
      <c r="I468" s="887">
        <f t="shared" si="20"/>
        <v>0</v>
      </c>
      <c r="J468" s="887">
        <v>0</v>
      </c>
      <c r="K468" s="887">
        <v>0</v>
      </c>
      <c r="L468" s="887">
        <f t="shared" si="21"/>
        <v>0</v>
      </c>
      <c r="M468" s="887">
        <v>0</v>
      </c>
      <c r="N468" s="887">
        <v>0</v>
      </c>
      <c r="O468" s="304" t="s">
        <v>89</v>
      </c>
    </row>
    <row r="469" spans="3:15" x14ac:dyDescent="0.25">
      <c r="C469" s="828">
        <v>25</v>
      </c>
      <c r="D469" s="558">
        <f t="shared" si="19"/>
        <v>0</v>
      </c>
      <c r="E469" s="304" t="s">
        <v>89</v>
      </c>
      <c r="F469" s="561" t="s">
        <v>521</v>
      </c>
      <c r="G469" s="561" t="s">
        <v>521</v>
      </c>
      <c r="H469" s="561" t="s">
        <v>521</v>
      </c>
      <c r="I469" s="887">
        <f t="shared" si="20"/>
        <v>0</v>
      </c>
      <c r="J469" s="887">
        <v>0</v>
      </c>
      <c r="K469" s="887">
        <v>0</v>
      </c>
      <c r="L469" s="887">
        <f t="shared" si="21"/>
        <v>0</v>
      </c>
      <c r="M469" s="887">
        <v>0</v>
      </c>
      <c r="N469" s="887">
        <v>0</v>
      </c>
      <c r="O469" s="304" t="s">
        <v>89</v>
      </c>
    </row>
    <row r="470" spans="3:15" x14ac:dyDescent="0.25">
      <c r="C470" s="828">
        <v>26</v>
      </c>
      <c r="D470" s="558">
        <f t="shared" si="19"/>
        <v>0</v>
      </c>
      <c r="E470" s="304" t="s">
        <v>89</v>
      </c>
      <c r="F470" s="561" t="s">
        <v>521</v>
      </c>
      <c r="G470" s="561" t="s">
        <v>521</v>
      </c>
      <c r="H470" s="561" t="s">
        <v>521</v>
      </c>
      <c r="I470" s="887">
        <f t="shared" si="20"/>
        <v>0</v>
      </c>
      <c r="J470" s="887">
        <v>0</v>
      </c>
      <c r="K470" s="887">
        <v>0</v>
      </c>
      <c r="L470" s="887">
        <f t="shared" si="21"/>
        <v>0</v>
      </c>
      <c r="M470" s="887">
        <v>0</v>
      </c>
      <c r="N470" s="887">
        <v>0</v>
      </c>
      <c r="O470" s="304" t="s">
        <v>89</v>
      </c>
    </row>
    <row r="471" spans="3:15" x14ac:dyDescent="0.25">
      <c r="C471" s="828">
        <v>27</v>
      </c>
      <c r="D471" s="558">
        <f t="shared" si="19"/>
        <v>0</v>
      </c>
      <c r="E471" s="304" t="s">
        <v>89</v>
      </c>
      <c r="F471" s="561" t="s">
        <v>521</v>
      </c>
      <c r="G471" s="561" t="s">
        <v>521</v>
      </c>
      <c r="H471" s="561" t="s">
        <v>521</v>
      </c>
      <c r="I471" s="887">
        <f t="shared" si="20"/>
        <v>0</v>
      </c>
      <c r="J471" s="887">
        <v>0</v>
      </c>
      <c r="K471" s="887">
        <v>0</v>
      </c>
      <c r="L471" s="887">
        <f t="shared" si="21"/>
        <v>0</v>
      </c>
      <c r="M471" s="887">
        <v>0</v>
      </c>
      <c r="N471" s="887">
        <v>0</v>
      </c>
      <c r="O471" s="304" t="s">
        <v>89</v>
      </c>
    </row>
    <row r="472" spans="3:15" x14ac:dyDescent="0.25">
      <c r="C472" s="828">
        <v>28</v>
      </c>
      <c r="D472" s="558">
        <f t="shared" si="19"/>
        <v>0</v>
      </c>
      <c r="E472" s="304" t="s">
        <v>89</v>
      </c>
      <c r="F472" s="561" t="s">
        <v>521</v>
      </c>
      <c r="G472" s="561" t="s">
        <v>521</v>
      </c>
      <c r="H472" s="561" t="s">
        <v>521</v>
      </c>
      <c r="I472" s="887">
        <f t="shared" si="20"/>
        <v>0</v>
      </c>
      <c r="J472" s="887">
        <v>0</v>
      </c>
      <c r="K472" s="887">
        <v>0</v>
      </c>
      <c r="L472" s="887">
        <f t="shared" si="21"/>
        <v>0</v>
      </c>
      <c r="M472" s="887">
        <v>0</v>
      </c>
      <c r="N472" s="887">
        <v>0</v>
      </c>
      <c r="O472" s="304" t="s">
        <v>89</v>
      </c>
    </row>
    <row r="473" spans="3:15" x14ac:dyDescent="0.25">
      <c r="C473" s="828">
        <v>29</v>
      </c>
      <c r="D473" s="558">
        <f t="shared" si="19"/>
        <v>0</v>
      </c>
      <c r="E473" s="304" t="s">
        <v>89</v>
      </c>
      <c r="F473" s="561" t="s">
        <v>521</v>
      </c>
      <c r="G473" s="561" t="s">
        <v>521</v>
      </c>
      <c r="H473" s="561" t="s">
        <v>521</v>
      </c>
      <c r="I473" s="887">
        <f t="shared" si="20"/>
        <v>0</v>
      </c>
      <c r="J473" s="887">
        <v>0</v>
      </c>
      <c r="K473" s="887">
        <v>0</v>
      </c>
      <c r="L473" s="887">
        <f t="shared" si="21"/>
        <v>0</v>
      </c>
      <c r="M473" s="887">
        <v>0</v>
      </c>
      <c r="N473" s="887">
        <v>0</v>
      </c>
      <c r="O473" s="304" t="s">
        <v>89</v>
      </c>
    </row>
    <row r="474" spans="3:15" x14ac:dyDescent="0.25">
      <c r="C474" s="828">
        <v>30</v>
      </c>
      <c r="D474" s="558">
        <f t="shared" si="19"/>
        <v>0</v>
      </c>
      <c r="E474" s="304" t="s">
        <v>89</v>
      </c>
      <c r="F474" s="561" t="s">
        <v>521</v>
      </c>
      <c r="G474" s="561" t="s">
        <v>521</v>
      </c>
      <c r="H474" s="561" t="s">
        <v>521</v>
      </c>
      <c r="I474" s="887">
        <f t="shared" si="20"/>
        <v>0</v>
      </c>
      <c r="J474" s="887">
        <v>0</v>
      </c>
      <c r="K474" s="887">
        <v>0</v>
      </c>
      <c r="L474" s="887">
        <f t="shared" si="21"/>
        <v>0</v>
      </c>
      <c r="M474" s="887">
        <v>0</v>
      </c>
      <c r="N474" s="887">
        <v>0</v>
      </c>
      <c r="O474" s="304" t="s">
        <v>89</v>
      </c>
    </row>
    <row r="475" spans="3:15" x14ac:dyDescent="0.25">
      <c r="C475" s="828">
        <v>31</v>
      </c>
      <c r="D475" s="558">
        <f t="shared" si="19"/>
        <v>0</v>
      </c>
      <c r="E475" s="304" t="s">
        <v>89</v>
      </c>
      <c r="F475" s="561" t="s">
        <v>521</v>
      </c>
      <c r="G475" s="561" t="s">
        <v>521</v>
      </c>
      <c r="H475" s="561" t="s">
        <v>521</v>
      </c>
      <c r="I475" s="887">
        <f t="shared" si="20"/>
        <v>0</v>
      </c>
      <c r="J475" s="887">
        <v>0</v>
      </c>
      <c r="K475" s="887">
        <v>0</v>
      </c>
      <c r="L475" s="887">
        <f t="shared" si="21"/>
        <v>0</v>
      </c>
      <c r="M475" s="887">
        <v>0</v>
      </c>
      <c r="N475" s="887">
        <v>0</v>
      </c>
      <c r="O475" s="304" t="s">
        <v>89</v>
      </c>
    </row>
    <row r="476" spans="3:15" x14ac:dyDescent="0.25">
      <c r="C476" s="828">
        <v>32</v>
      </c>
      <c r="D476" s="558">
        <f t="shared" si="19"/>
        <v>0</v>
      </c>
      <c r="E476" s="304" t="s">
        <v>89</v>
      </c>
      <c r="F476" s="561" t="s">
        <v>521</v>
      </c>
      <c r="G476" s="561" t="s">
        <v>521</v>
      </c>
      <c r="H476" s="561" t="s">
        <v>521</v>
      </c>
      <c r="I476" s="887">
        <f t="shared" si="20"/>
        <v>0</v>
      </c>
      <c r="J476" s="887">
        <v>0</v>
      </c>
      <c r="K476" s="887">
        <v>0</v>
      </c>
      <c r="L476" s="887">
        <f t="shared" si="21"/>
        <v>0</v>
      </c>
      <c r="M476" s="887">
        <v>0</v>
      </c>
      <c r="N476" s="887">
        <v>0</v>
      </c>
      <c r="O476" s="304" t="s">
        <v>89</v>
      </c>
    </row>
    <row r="477" spans="3:15" x14ac:dyDescent="0.25">
      <c r="C477" s="828">
        <v>33</v>
      </c>
      <c r="D477" s="558">
        <f t="shared" si="19"/>
        <v>0</v>
      </c>
      <c r="E477" s="304" t="s">
        <v>89</v>
      </c>
      <c r="F477" s="561" t="s">
        <v>521</v>
      </c>
      <c r="G477" s="561" t="s">
        <v>521</v>
      </c>
      <c r="H477" s="561" t="s">
        <v>521</v>
      </c>
      <c r="I477" s="887">
        <f t="shared" si="20"/>
        <v>0</v>
      </c>
      <c r="J477" s="887">
        <v>0</v>
      </c>
      <c r="K477" s="887">
        <v>0</v>
      </c>
      <c r="L477" s="887">
        <f t="shared" si="21"/>
        <v>0</v>
      </c>
      <c r="M477" s="887">
        <v>0</v>
      </c>
      <c r="N477" s="887">
        <v>0</v>
      </c>
      <c r="O477" s="304" t="s">
        <v>89</v>
      </c>
    </row>
    <row r="478" spans="3:15" x14ac:dyDescent="0.25">
      <c r="C478" s="828">
        <v>34</v>
      </c>
      <c r="D478" s="558">
        <f t="shared" si="19"/>
        <v>0</v>
      </c>
      <c r="E478" s="304" t="s">
        <v>89</v>
      </c>
      <c r="F478" s="561" t="s">
        <v>521</v>
      </c>
      <c r="G478" s="561" t="s">
        <v>521</v>
      </c>
      <c r="H478" s="561" t="s">
        <v>521</v>
      </c>
      <c r="I478" s="887">
        <f t="shared" si="20"/>
        <v>0</v>
      </c>
      <c r="J478" s="887">
        <v>0</v>
      </c>
      <c r="K478" s="887">
        <v>0</v>
      </c>
      <c r="L478" s="887">
        <f t="shared" si="21"/>
        <v>0</v>
      </c>
      <c r="M478" s="887">
        <v>0</v>
      </c>
      <c r="N478" s="887">
        <v>0</v>
      </c>
      <c r="O478" s="304" t="s">
        <v>89</v>
      </c>
    </row>
    <row r="479" spans="3:15" x14ac:dyDescent="0.25">
      <c r="C479" s="828">
        <v>35</v>
      </c>
      <c r="D479" s="558">
        <f t="shared" si="19"/>
        <v>0</v>
      </c>
      <c r="E479" s="304" t="s">
        <v>89</v>
      </c>
      <c r="F479" s="561" t="s">
        <v>521</v>
      </c>
      <c r="G479" s="561" t="s">
        <v>521</v>
      </c>
      <c r="H479" s="561" t="s">
        <v>521</v>
      </c>
      <c r="I479" s="887">
        <f t="shared" si="20"/>
        <v>0</v>
      </c>
      <c r="J479" s="887">
        <v>0</v>
      </c>
      <c r="K479" s="887">
        <v>0</v>
      </c>
      <c r="L479" s="887">
        <f t="shared" si="21"/>
        <v>0</v>
      </c>
      <c r="M479" s="887">
        <v>0</v>
      </c>
      <c r="N479" s="887">
        <v>0</v>
      </c>
      <c r="O479" s="304" t="s">
        <v>89</v>
      </c>
    </row>
    <row r="480" spans="3:15" x14ac:dyDescent="0.25">
      <c r="C480" s="828">
        <v>36</v>
      </c>
      <c r="D480" s="558">
        <f t="shared" si="19"/>
        <v>0</v>
      </c>
      <c r="E480" s="304" t="s">
        <v>89</v>
      </c>
      <c r="F480" s="561" t="s">
        <v>521</v>
      </c>
      <c r="G480" s="561" t="s">
        <v>521</v>
      </c>
      <c r="H480" s="561" t="s">
        <v>521</v>
      </c>
      <c r="I480" s="887">
        <f t="shared" si="20"/>
        <v>0</v>
      </c>
      <c r="J480" s="887">
        <v>0</v>
      </c>
      <c r="K480" s="887">
        <v>0</v>
      </c>
      <c r="L480" s="887">
        <f t="shared" si="21"/>
        <v>0</v>
      </c>
      <c r="M480" s="887">
        <v>0</v>
      </c>
      <c r="N480" s="887">
        <v>0</v>
      </c>
      <c r="O480" s="304" t="s">
        <v>89</v>
      </c>
    </row>
    <row r="481" spans="3:15" x14ac:dyDescent="0.25">
      <c r="C481" s="828">
        <v>37</v>
      </c>
      <c r="D481" s="558">
        <f t="shared" si="19"/>
        <v>0</v>
      </c>
      <c r="E481" s="304" t="s">
        <v>89</v>
      </c>
      <c r="F481" s="561" t="s">
        <v>521</v>
      </c>
      <c r="G481" s="561" t="s">
        <v>521</v>
      </c>
      <c r="H481" s="561" t="s">
        <v>521</v>
      </c>
      <c r="I481" s="887">
        <f t="shared" si="20"/>
        <v>0</v>
      </c>
      <c r="J481" s="887">
        <v>0</v>
      </c>
      <c r="K481" s="887">
        <v>0</v>
      </c>
      <c r="L481" s="887">
        <f t="shared" si="21"/>
        <v>0</v>
      </c>
      <c r="M481" s="887">
        <v>0</v>
      </c>
      <c r="N481" s="887">
        <v>0</v>
      </c>
      <c r="O481" s="304" t="s">
        <v>89</v>
      </c>
    </row>
    <row r="482" spans="3:15" x14ac:dyDescent="0.25">
      <c r="C482" s="828">
        <v>38</v>
      </c>
      <c r="D482" s="558">
        <f t="shared" si="19"/>
        <v>0</v>
      </c>
      <c r="E482" s="304" t="s">
        <v>89</v>
      </c>
      <c r="F482" s="561" t="s">
        <v>521</v>
      </c>
      <c r="G482" s="561" t="s">
        <v>521</v>
      </c>
      <c r="H482" s="561" t="s">
        <v>521</v>
      </c>
      <c r="I482" s="887">
        <f t="shared" si="20"/>
        <v>0</v>
      </c>
      <c r="J482" s="887">
        <v>0</v>
      </c>
      <c r="K482" s="887">
        <v>0</v>
      </c>
      <c r="L482" s="887">
        <f t="shared" si="21"/>
        <v>0</v>
      </c>
      <c r="M482" s="887">
        <v>0</v>
      </c>
      <c r="N482" s="887">
        <v>0</v>
      </c>
      <c r="O482" s="304" t="s">
        <v>89</v>
      </c>
    </row>
    <row r="483" spans="3:15" x14ac:dyDescent="0.25">
      <c r="C483" s="828">
        <v>39</v>
      </c>
      <c r="D483" s="558">
        <f t="shared" si="19"/>
        <v>0</v>
      </c>
      <c r="E483" s="304" t="s">
        <v>89</v>
      </c>
      <c r="F483" s="561" t="s">
        <v>521</v>
      </c>
      <c r="G483" s="561" t="s">
        <v>521</v>
      </c>
      <c r="H483" s="561" t="s">
        <v>521</v>
      </c>
      <c r="I483" s="887">
        <f t="shared" si="20"/>
        <v>0</v>
      </c>
      <c r="J483" s="887">
        <v>0</v>
      </c>
      <c r="K483" s="887">
        <v>0</v>
      </c>
      <c r="L483" s="887">
        <f t="shared" si="21"/>
        <v>0</v>
      </c>
      <c r="M483" s="887">
        <v>0</v>
      </c>
      <c r="N483" s="887">
        <v>0</v>
      </c>
      <c r="O483" s="304" t="s">
        <v>89</v>
      </c>
    </row>
    <row r="484" spans="3:15" x14ac:dyDescent="0.25">
      <c r="C484" s="828">
        <v>40</v>
      </c>
      <c r="D484" s="558">
        <f t="shared" si="19"/>
        <v>0</v>
      </c>
      <c r="E484" s="304" t="s">
        <v>89</v>
      </c>
      <c r="F484" s="561" t="s">
        <v>521</v>
      </c>
      <c r="G484" s="561" t="s">
        <v>521</v>
      </c>
      <c r="H484" s="561" t="s">
        <v>521</v>
      </c>
      <c r="I484" s="887">
        <f t="shared" si="20"/>
        <v>0</v>
      </c>
      <c r="J484" s="887">
        <v>0</v>
      </c>
      <c r="K484" s="887">
        <v>0</v>
      </c>
      <c r="L484" s="887">
        <f t="shared" si="21"/>
        <v>0</v>
      </c>
      <c r="M484" s="887">
        <v>0</v>
      </c>
      <c r="N484" s="887">
        <v>0</v>
      </c>
      <c r="O484" s="304" t="s">
        <v>89</v>
      </c>
    </row>
    <row r="485" spans="3:15" x14ac:dyDescent="0.25">
      <c r="C485" s="828">
        <v>41</v>
      </c>
      <c r="D485" s="558">
        <f t="shared" si="19"/>
        <v>0</v>
      </c>
      <c r="E485" s="304" t="s">
        <v>89</v>
      </c>
      <c r="F485" s="561" t="s">
        <v>521</v>
      </c>
      <c r="G485" s="561" t="s">
        <v>521</v>
      </c>
      <c r="H485" s="561" t="s">
        <v>521</v>
      </c>
      <c r="I485" s="887">
        <f t="shared" si="20"/>
        <v>0</v>
      </c>
      <c r="J485" s="887">
        <v>0</v>
      </c>
      <c r="K485" s="887">
        <v>0</v>
      </c>
      <c r="L485" s="887">
        <f t="shared" si="21"/>
        <v>0</v>
      </c>
      <c r="M485" s="887">
        <v>0</v>
      </c>
      <c r="N485" s="887">
        <v>0</v>
      </c>
      <c r="O485" s="304" t="s">
        <v>89</v>
      </c>
    </row>
    <row r="486" spans="3:15" x14ac:dyDescent="0.25">
      <c r="C486" s="828">
        <v>42</v>
      </c>
      <c r="D486" s="558">
        <f t="shared" si="19"/>
        <v>0</v>
      </c>
      <c r="E486" s="304" t="s">
        <v>89</v>
      </c>
      <c r="F486" s="561" t="s">
        <v>521</v>
      </c>
      <c r="G486" s="561" t="s">
        <v>521</v>
      </c>
      <c r="H486" s="561" t="s">
        <v>521</v>
      </c>
      <c r="I486" s="887">
        <f t="shared" si="20"/>
        <v>0</v>
      </c>
      <c r="J486" s="887">
        <v>0</v>
      </c>
      <c r="K486" s="887">
        <v>0</v>
      </c>
      <c r="L486" s="887">
        <f t="shared" si="21"/>
        <v>0</v>
      </c>
      <c r="M486" s="887">
        <v>0</v>
      </c>
      <c r="N486" s="887">
        <v>0</v>
      </c>
      <c r="O486" s="304" t="s">
        <v>89</v>
      </c>
    </row>
    <row r="487" spans="3:15" x14ac:dyDescent="0.25">
      <c r="C487" s="828">
        <v>43</v>
      </c>
      <c r="D487" s="558">
        <f t="shared" si="19"/>
        <v>0</v>
      </c>
      <c r="E487" s="304" t="s">
        <v>89</v>
      </c>
      <c r="F487" s="561" t="s">
        <v>521</v>
      </c>
      <c r="G487" s="561" t="s">
        <v>521</v>
      </c>
      <c r="H487" s="561" t="s">
        <v>521</v>
      </c>
      <c r="I487" s="887">
        <f t="shared" si="20"/>
        <v>0</v>
      </c>
      <c r="J487" s="887">
        <v>0</v>
      </c>
      <c r="K487" s="887">
        <v>0</v>
      </c>
      <c r="L487" s="887">
        <f t="shared" si="21"/>
        <v>0</v>
      </c>
      <c r="M487" s="887">
        <v>0</v>
      </c>
      <c r="N487" s="887">
        <v>0</v>
      </c>
      <c r="O487" s="304" t="s">
        <v>89</v>
      </c>
    </row>
    <row r="488" spans="3:15" x14ac:dyDescent="0.25">
      <c r="C488" s="828">
        <v>44</v>
      </c>
      <c r="D488" s="558">
        <f t="shared" si="19"/>
        <v>0</v>
      </c>
      <c r="E488" s="304" t="s">
        <v>89</v>
      </c>
      <c r="F488" s="561" t="s">
        <v>521</v>
      </c>
      <c r="G488" s="561" t="s">
        <v>521</v>
      </c>
      <c r="H488" s="561" t="s">
        <v>521</v>
      </c>
      <c r="I488" s="887">
        <f t="shared" si="20"/>
        <v>0</v>
      </c>
      <c r="J488" s="887">
        <v>0</v>
      </c>
      <c r="K488" s="887">
        <v>0</v>
      </c>
      <c r="L488" s="887">
        <f t="shared" si="21"/>
        <v>0</v>
      </c>
      <c r="M488" s="887">
        <v>0</v>
      </c>
      <c r="N488" s="887">
        <v>0</v>
      </c>
      <c r="O488" s="304" t="s">
        <v>89</v>
      </c>
    </row>
    <row r="489" spans="3:15" x14ac:dyDescent="0.25">
      <c r="C489" s="828">
        <v>45</v>
      </c>
      <c r="D489" s="558">
        <f t="shared" si="19"/>
        <v>0</v>
      </c>
      <c r="E489" s="304" t="s">
        <v>89</v>
      </c>
      <c r="F489" s="561" t="s">
        <v>521</v>
      </c>
      <c r="G489" s="561" t="s">
        <v>521</v>
      </c>
      <c r="H489" s="561" t="s">
        <v>521</v>
      </c>
      <c r="I489" s="887">
        <f t="shared" si="20"/>
        <v>0</v>
      </c>
      <c r="J489" s="887">
        <v>0</v>
      </c>
      <c r="K489" s="887">
        <v>0</v>
      </c>
      <c r="L489" s="887">
        <f t="shared" si="21"/>
        <v>0</v>
      </c>
      <c r="M489" s="887">
        <v>0</v>
      </c>
      <c r="N489" s="887">
        <v>0</v>
      </c>
      <c r="O489" s="304" t="s">
        <v>89</v>
      </c>
    </row>
    <row r="490" spans="3:15" x14ac:dyDescent="0.25">
      <c r="C490" s="828">
        <v>46</v>
      </c>
      <c r="D490" s="558">
        <f t="shared" si="19"/>
        <v>0</v>
      </c>
      <c r="E490" s="304" t="s">
        <v>89</v>
      </c>
      <c r="F490" s="561" t="s">
        <v>521</v>
      </c>
      <c r="G490" s="561" t="s">
        <v>521</v>
      </c>
      <c r="H490" s="561" t="s">
        <v>521</v>
      </c>
      <c r="I490" s="887">
        <f t="shared" si="20"/>
        <v>0</v>
      </c>
      <c r="J490" s="887">
        <v>0</v>
      </c>
      <c r="K490" s="887">
        <v>0</v>
      </c>
      <c r="L490" s="887">
        <f t="shared" si="21"/>
        <v>0</v>
      </c>
      <c r="M490" s="887">
        <v>0</v>
      </c>
      <c r="N490" s="887">
        <v>0</v>
      </c>
      <c r="O490" s="304" t="s">
        <v>89</v>
      </c>
    </row>
    <row r="491" spans="3:15" x14ac:dyDescent="0.25">
      <c r="C491" s="828">
        <v>47</v>
      </c>
      <c r="D491" s="558">
        <f t="shared" si="19"/>
        <v>0</v>
      </c>
      <c r="E491" s="304" t="s">
        <v>89</v>
      </c>
      <c r="F491" s="561" t="s">
        <v>521</v>
      </c>
      <c r="G491" s="561" t="s">
        <v>521</v>
      </c>
      <c r="H491" s="561" t="s">
        <v>521</v>
      </c>
      <c r="I491" s="887">
        <f t="shared" si="20"/>
        <v>0</v>
      </c>
      <c r="J491" s="887">
        <v>0</v>
      </c>
      <c r="K491" s="887">
        <v>0</v>
      </c>
      <c r="L491" s="887">
        <f t="shared" si="21"/>
        <v>0</v>
      </c>
      <c r="M491" s="887">
        <v>0</v>
      </c>
      <c r="N491" s="887">
        <v>0</v>
      </c>
      <c r="O491" s="304" t="s">
        <v>89</v>
      </c>
    </row>
    <row r="492" spans="3:15" x14ac:dyDescent="0.25">
      <c r="C492" s="828">
        <v>48</v>
      </c>
      <c r="D492" s="558">
        <f t="shared" si="19"/>
        <v>0</v>
      </c>
      <c r="E492" s="304" t="s">
        <v>89</v>
      </c>
      <c r="F492" s="561" t="s">
        <v>521</v>
      </c>
      <c r="G492" s="561" t="s">
        <v>521</v>
      </c>
      <c r="H492" s="561" t="s">
        <v>521</v>
      </c>
      <c r="I492" s="887">
        <f t="shared" si="20"/>
        <v>0</v>
      </c>
      <c r="J492" s="887">
        <v>0</v>
      </c>
      <c r="K492" s="887">
        <v>0</v>
      </c>
      <c r="L492" s="887">
        <f t="shared" si="21"/>
        <v>0</v>
      </c>
      <c r="M492" s="887">
        <v>0</v>
      </c>
      <c r="N492" s="887">
        <v>0</v>
      </c>
      <c r="O492" s="304" t="s">
        <v>89</v>
      </c>
    </row>
    <row r="493" spans="3:15" x14ac:dyDescent="0.25">
      <c r="C493" s="828">
        <v>49</v>
      </c>
      <c r="D493" s="558">
        <f t="shared" si="19"/>
        <v>0</v>
      </c>
      <c r="E493" s="304" t="s">
        <v>89</v>
      </c>
      <c r="F493" s="561" t="s">
        <v>521</v>
      </c>
      <c r="G493" s="561" t="s">
        <v>521</v>
      </c>
      <c r="H493" s="561" t="s">
        <v>521</v>
      </c>
      <c r="I493" s="887">
        <f t="shared" si="20"/>
        <v>0</v>
      </c>
      <c r="J493" s="887">
        <v>0</v>
      </c>
      <c r="K493" s="887">
        <v>0</v>
      </c>
      <c r="L493" s="887">
        <f t="shared" si="21"/>
        <v>0</v>
      </c>
      <c r="M493" s="887">
        <v>0</v>
      </c>
      <c r="N493" s="887">
        <v>0</v>
      </c>
      <c r="O493" s="304" t="s">
        <v>89</v>
      </c>
    </row>
    <row r="494" spans="3:15" x14ac:dyDescent="0.25">
      <c r="C494" s="828">
        <v>50</v>
      </c>
      <c r="D494" s="558">
        <f t="shared" si="19"/>
        <v>0</v>
      </c>
      <c r="E494" s="304" t="s">
        <v>89</v>
      </c>
      <c r="F494" s="561" t="s">
        <v>521</v>
      </c>
      <c r="G494" s="561" t="s">
        <v>521</v>
      </c>
      <c r="H494" s="561" t="s">
        <v>521</v>
      </c>
      <c r="I494" s="887">
        <f t="shared" si="20"/>
        <v>0</v>
      </c>
      <c r="J494" s="887">
        <v>0</v>
      </c>
      <c r="K494" s="887">
        <v>0</v>
      </c>
      <c r="L494" s="887">
        <f t="shared" si="21"/>
        <v>0</v>
      </c>
      <c r="M494" s="887">
        <v>0</v>
      </c>
      <c r="N494" s="887">
        <v>0</v>
      </c>
      <c r="O494" s="304" t="s">
        <v>89</v>
      </c>
    </row>
    <row r="495" spans="3:15" x14ac:dyDescent="0.25">
      <c r="C495" s="828">
        <v>51</v>
      </c>
      <c r="D495" s="558">
        <f t="shared" si="19"/>
        <v>0</v>
      </c>
      <c r="E495" s="304" t="s">
        <v>89</v>
      </c>
      <c r="F495" s="561" t="s">
        <v>521</v>
      </c>
      <c r="G495" s="561" t="s">
        <v>521</v>
      </c>
      <c r="H495" s="561" t="s">
        <v>521</v>
      </c>
      <c r="I495" s="887">
        <f t="shared" si="20"/>
        <v>0</v>
      </c>
      <c r="J495" s="887">
        <v>0</v>
      </c>
      <c r="K495" s="887">
        <v>0</v>
      </c>
      <c r="L495" s="887">
        <f t="shared" si="21"/>
        <v>0</v>
      </c>
      <c r="M495" s="887">
        <v>0</v>
      </c>
      <c r="N495" s="887">
        <v>0</v>
      </c>
      <c r="O495" s="304" t="s">
        <v>89</v>
      </c>
    </row>
    <row r="496" spans="3:15" x14ac:dyDescent="0.25">
      <c r="C496" s="828">
        <v>52</v>
      </c>
      <c r="D496" s="558">
        <f t="shared" si="19"/>
        <v>0</v>
      </c>
      <c r="E496" s="304" t="s">
        <v>89</v>
      </c>
      <c r="F496" s="561" t="s">
        <v>521</v>
      </c>
      <c r="G496" s="561" t="s">
        <v>521</v>
      </c>
      <c r="H496" s="561" t="s">
        <v>521</v>
      </c>
      <c r="I496" s="887">
        <f t="shared" si="20"/>
        <v>0</v>
      </c>
      <c r="J496" s="887">
        <v>0</v>
      </c>
      <c r="K496" s="887">
        <v>0</v>
      </c>
      <c r="L496" s="887">
        <f t="shared" si="21"/>
        <v>0</v>
      </c>
      <c r="M496" s="887">
        <v>0</v>
      </c>
      <c r="N496" s="887">
        <v>0</v>
      </c>
      <c r="O496" s="304" t="s">
        <v>89</v>
      </c>
    </row>
    <row r="497" spans="3:15" x14ac:dyDescent="0.25">
      <c r="C497" s="828">
        <v>53</v>
      </c>
      <c r="D497" s="558">
        <f t="shared" si="19"/>
        <v>0</v>
      </c>
      <c r="E497" s="304" t="s">
        <v>89</v>
      </c>
      <c r="F497" s="561" t="s">
        <v>521</v>
      </c>
      <c r="G497" s="561" t="s">
        <v>521</v>
      </c>
      <c r="H497" s="561" t="s">
        <v>521</v>
      </c>
      <c r="I497" s="887">
        <f t="shared" si="20"/>
        <v>0</v>
      </c>
      <c r="J497" s="887">
        <v>0</v>
      </c>
      <c r="K497" s="887">
        <v>0</v>
      </c>
      <c r="L497" s="887">
        <f t="shared" si="21"/>
        <v>0</v>
      </c>
      <c r="M497" s="887">
        <v>0</v>
      </c>
      <c r="N497" s="887">
        <v>0</v>
      </c>
      <c r="O497" s="304" t="s">
        <v>89</v>
      </c>
    </row>
    <row r="498" spans="3:15" x14ac:dyDescent="0.25">
      <c r="C498" s="828">
        <v>54</v>
      </c>
      <c r="D498" s="558">
        <f t="shared" si="19"/>
        <v>0</v>
      </c>
      <c r="E498" s="304" t="s">
        <v>89</v>
      </c>
      <c r="F498" s="561" t="s">
        <v>521</v>
      </c>
      <c r="G498" s="561" t="s">
        <v>521</v>
      </c>
      <c r="H498" s="561" t="s">
        <v>521</v>
      </c>
      <c r="I498" s="887">
        <f t="shared" si="20"/>
        <v>0</v>
      </c>
      <c r="J498" s="887">
        <v>0</v>
      </c>
      <c r="K498" s="887">
        <v>0</v>
      </c>
      <c r="L498" s="887">
        <f t="shared" si="21"/>
        <v>0</v>
      </c>
      <c r="M498" s="887">
        <v>0</v>
      </c>
      <c r="N498" s="887">
        <v>0</v>
      </c>
      <c r="O498" s="304" t="s">
        <v>89</v>
      </c>
    </row>
    <row r="499" spans="3:15" x14ac:dyDescent="0.25">
      <c r="C499" s="828">
        <v>55</v>
      </c>
      <c r="D499" s="558">
        <f t="shared" si="19"/>
        <v>0</v>
      </c>
      <c r="E499" s="304" t="s">
        <v>89</v>
      </c>
      <c r="F499" s="561" t="s">
        <v>521</v>
      </c>
      <c r="G499" s="561" t="s">
        <v>521</v>
      </c>
      <c r="H499" s="561" t="s">
        <v>521</v>
      </c>
      <c r="I499" s="887">
        <f t="shared" si="20"/>
        <v>0</v>
      </c>
      <c r="J499" s="887">
        <v>0</v>
      </c>
      <c r="K499" s="887">
        <v>0</v>
      </c>
      <c r="L499" s="887">
        <f t="shared" si="21"/>
        <v>0</v>
      </c>
      <c r="M499" s="887">
        <v>0</v>
      </c>
      <c r="N499" s="887">
        <v>0</v>
      </c>
      <c r="O499" s="304" t="s">
        <v>89</v>
      </c>
    </row>
    <row r="500" spans="3:15" x14ac:dyDescent="0.25">
      <c r="C500" s="828">
        <v>56</v>
      </c>
      <c r="D500" s="558">
        <f t="shared" si="19"/>
        <v>0</v>
      </c>
      <c r="E500" s="304" t="s">
        <v>89</v>
      </c>
      <c r="F500" s="561" t="s">
        <v>521</v>
      </c>
      <c r="G500" s="561" t="s">
        <v>521</v>
      </c>
      <c r="H500" s="561" t="s">
        <v>521</v>
      </c>
      <c r="I500" s="887">
        <f t="shared" si="20"/>
        <v>0</v>
      </c>
      <c r="J500" s="887">
        <v>0</v>
      </c>
      <c r="K500" s="887">
        <v>0</v>
      </c>
      <c r="L500" s="887">
        <f t="shared" si="21"/>
        <v>0</v>
      </c>
      <c r="M500" s="887">
        <v>0</v>
      </c>
      <c r="N500" s="887">
        <v>0</v>
      </c>
      <c r="O500" s="304" t="s">
        <v>89</v>
      </c>
    </row>
    <row r="501" spans="3:15" x14ac:dyDescent="0.25">
      <c r="C501" s="828">
        <v>57</v>
      </c>
      <c r="D501" s="558">
        <f t="shared" si="19"/>
        <v>0</v>
      </c>
      <c r="E501" s="304" t="s">
        <v>89</v>
      </c>
      <c r="F501" s="561" t="s">
        <v>521</v>
      </c>
      <c r="G501" s="561" t="s">
        <v>521</v>
      </c>
      <c r="H501" s="561" t="s">
        <v>521</v>
      </c>
      <c r="I501" s="887">
        <f t="shared" si="20"/>
        <v>0</v>
      </c>
      <c r="J501" s="887">
        <v>0</v>
      </c>
      <c r="K501" s="887">
        <v>0</v>
      </c>
      <c r="L501" s="887">
        <f t="shared" si="21"/>
        <v>0</v>
      </c>
      <c r="M501" s="887">
        <v>0</v>
      </c>
      <c r="N501" s="887">
        <v>0</v>
      </c>
      <c r="O501" s="304" t="s">
        <v>89</v>
      </c>
    </row>
    <row r="502" spans="3:15" x14ac:dyDescent="0.25">
      <c r="C502" s="828">
        <v>58</v>
      </c>
      <c r="D502" s="558">
        <f t="shared" si="19"/>
        <v>0</v>
      </c>
      <c r="E502" s="304" t="s">
        <v>89</v>
      </c>
      <c r="F502" s="561" t="s">
        <v>521</v>
      </c>
      <c r="G502" s="561" t="s">
        <v>521</v>
      </c>
      <c r="H502" s="561" t="s">
        <v>521</v>
      </c>
      <c r="I502" s="887">
        <f t="shared" si="20"/>
        <v>0</v>
      </c>
      <c r="J502" s="887">
        <v>0</v>
      </c>
      <c r="K502" s="887">
        <v>0</v>
      </c>
      <c r="L502" s="887">
        <f t="shared" si="21"/>
        <v>0</v>
      </c>
      <c r="M502" s="887">
        <v>0</v>
      </c>
      <c r="N502" s="887">
        <v>0</v>
      </c>
      <c r="O502" s="304" t="s">
        <v>89</v>
      </c>
    </row>
    <row r="503" spans="3:15" x14ac:dyDescent="0.25">
      <c r="C503" s="828">
        <v>59</v>
      </c>
      <c r="D503" s="558">
        <f t="shared" si="19"/>
        <v>0</v>
      </c>
      <c r="E503" s="304" t="s">
        <v>89</v>
      </c>
      <c r="F503" s="561" t="s">
        <v>521</v>
      </c>
      <c r="G503" s="561" t="s">
        <v>521</v>
      </c>
      <c r="H503" s="561" t="s">
        <v>521</v>
      </c>
      <c r="I503" s="887">
        <f t="shared" si="20"/>
        <v>0</v>
      </c>
      <c r="J503" s="887">
        <v>0</v>
      </c>
      <c r="K503" s="887">
        <v>0</v>
      </c>
      <c r="L503" s="887">
        <f t="shared" si="21"/>
        <v>0</v>
      </c>
      <c r="M503" s="887">
        <v>0</v>
      </c>
      <c r="N503" s="887">
        <v>0</v>
      </c>
      <c r="O503" s="304" t="s">
        <v>89</v>
      </c>
    </row>
    <row r="504" spans="3:15" x14ac:dyDescent="0.25">
      <c r="C504" s="828">
        <v>60</v>
      </c>
      <c r="D504" s="558">
        <f t="shared" si="19"/>
        <v>0</v>
      </c>
      <c r="E504" s="304" t="s">
        <v>89</v>
      </c>
      <c r="F504" s="561" t="s">
        <v>521</v>
      </c>
      <c r="G504" s="561" t="s">
        <v>521</v>
      </c>
      <c r="H504" s="561" t="s">
        <v>521</v>
      </c>
      <c r="I504" s="887">
        <f t="shared" si="20"/>
        <v>0</v>
      </c>
      <c r="J504" s="887">
        <v>0</v>
      </c>
      <c r="K504" s="887">
        <v>0</v>
      </c>
      <c r="L504" s="887">
        <f t="shared" si="21"/>
        <v>0</v>
      </c>
      <c r="M504" s="887">
        <v>0</v>
      </c>
      <c r="N504" s="887">
        <v>0</v>
      </c>
      <c r="O504" s="304" t="s">
        <v>89</v>
      </c>
    </row>
    <row r="505" spans="3:15" x14ac:dyDescent="0.25">
      <c r="C505" s="828">
        <v>61</v>
      </c>
      <c r="D505" s="558">
        <f t="shared" si="19"/>
        <v>0</v>
      </c>
      <c r="E505" s="304" t="s">
        <v>89</v>
      </c>
      <c r="F505" s="561" t="s">
        <v>521</v>
      </c>
      <c r="G505" s="561" t="s">
        <v>521</v>
      </c>
      <c r="H505" s="561" t="s">
        <v>521</v>
      </c>
      <c r="I505" s="887">
        <f t="shared" si="20"/>
        <v>0</v>
      </c>
      <c r="J505" s="887">
        <v>0</v>
      </c>
      <c r="K505" s="887">
        <v>0</v>
      </c>
      <c r="L505" s="887">
        <f t="shared" si="21"/>
        <v>0</v>
      </c>
      <c r="M505" s="887">
        <v>0</v>
      </c>
      <c r="N505" s="887">
        <v>0</v>
      </c>
      <c r="O505" s="304" t="s">
        <v>89</v>
      </c>
    </row>
    <row r="506" spans="3:15" x14ac:dyDescent="0.25">
      <c r="C506" s="828">
        <v>62</v>
      </c>
      <c r="D506" s="558">
        <f t="shared" si="19"/>
        <v>0</v>
      </c>
      <c r="E506" s="304" t="s">
        <v>89</v>
      </c>
      <c r="F506" s="561" t="s">
        <v>521</v>
      </c>
      <c r="G506" s="561" t="s">
        <v>521</v>
      </c>
      <c r="H506" s="561" t="s">
        <v>521</v>
      </c>
      <c r="I506" s="887">
        <f t="shared" si="20"/>
        <v>0</v>
      </c>
      <c r="J506" s="887">
        <v>0</v>
      </c>
      <c r="K506" s="887">
        <v>0</v>
      </c>
      <c r="L506" s="887">
        <f t="shared" si="21"/>
        <v>0</v>
      </c>
      <c r="M506" s="887">
        <v>0</v>
      </c>
      <c r="N506" s="887">
        <v>0</v>
      </c>
      <c r="O506" s="304" t="s">
        <v>89</v>
      </c>
    </row>
    <row r="507" spans="3:15" x14ac:dyDescent="0.25">
      <c r="C507" s="828">
        <v>63</v>
      </c>
      <c r="D507" s="558">
        <f t="shared" si="19"/>
        <v>0</v>
      </c>
      <c r="E507" s="304" t="s">
        <v>89</v>
      </c>
      <c r="F507" s="561" t="s">
        <v>521</v>
      </c>
      <c r="G507" s="561" t="s">
        <v>521</v>
      </c>
      <c r="H507" s="561" t="s">
        <v>521</v>
      </c>
      <c r="I507" s="887">
        <f t="shared" si="20"/>
        <v>0</v>
      </c>
      <c r="J507" s="887">
        <v>0</v>
      </c>
      <c r="K507" s="887">
        <v>0</v>
      </c>
      <c r="L507" s="887">
        <f t="shared" si="21"/>
        <v>0</v>
      </c>
      <c r="M507" s="887">
        <v>0</v>
      </c>
      <c r="N507" s="887">
        <v>0</v>
      </c>
      <c r="O507" s="304" t="s">
        <v>89</v>
      </c>
    </row>
    <row r="508" spans="3:15" x14ac:dyDescent="0.25">
      <c r="C508" s="828">
        <v>64</v>
      </c>
      <c r="D508" s="558">
        <f t="shared" si="19"/>
        <v>0</v>
      </c>
      <c r="E508" s="304" t="s">
        <v>89</v>
      </c>
      <c r="F508" s="561" t="s">
        <v>521</v>
      </c>
      <c r="G508" s="561" t="s">
        <v>521</v>
      </c>
      <c r="H508" s="561" t="s">
        <v>521</v>
      </c>
      <c r="I508" s="887">
        <f t="shared" si="20"/>
        <v>0</v>
      </c>
      <c r="J508" s="887">
        <v>0</v>
      </c>
      <c r="K508" s="887">
        <v>0</v>
      </c>
      <c r="L508" s="887">
        <f t="shared" si="21"/>
        <v>0</v>
      </c>
      <c r="M508" s="887">
        <v>0</v>
      </c>
      <c r="N508" s="887">
        <v>0</v>
      </c>
      <c r="O508" s="304" t="s">
        <v>89</v>
      </c>
    </row>
    <row r="509" spans="3:15" x14ac:dyDescent="0.25">
      <c r="C509" s="828">
        <v>65</v>
      </c>
      <c r="D509" s="558">
        <f t="shared" si="19"/>
        <v>0</v>
      </c>
      <c r="E509" s="304" t="s">
        <v>89</v>
      </c>
      <c r="F509" s="561" t="s">
        <v>521</v>
      </c>
      <c r="G509" s="561" t="s">
        <v>521</v>
      </c>
      <c r="H509" s="561" t="s">
        <v>521</v>
      </c>
      <c r="I509" s="887">
        <f t="shared" si="20"/>
        <v>0</v>
      </c>
      <c r="J509" s="887">
        <v>0</v>
      </c>
      <c r="K509" s="887">
        <v>0</v>
      </c>
      <c r="L509" s="887">
        <f t="shared" si="21"/>
        <v>0</v>
      </c>
      <c r="M509" s="887">
        <v>0</v>
      </c>
      <c r="N509" s="887">
        <v>0</v>
      </c>
      <c r="O509" s="304" t="s">
        <v>89</v>
      </c>
    </row>
    <row r="510" spans="3:15" x14ac:dyDescent="0.25">
      <c r="C510" s="828">
        <v>66</v>
      </c>
      <c r="D510" s="558">
        <f t="shared" ref="D510:D534" si="22">SUM(F510:I510)</f>
        <v>0</v>
      </c>
      <c r="E510" s="304" t="s">
        <v>89</v>
      </c>
      <c r="F510" s="561" t="s">
        <v>521</v>
      </c>
      <c r="G510" s="561" t="s">
        <v>521</v>
      </c>
      <c r="H510" s="561" t="s">
        <v>521</v>
      </c>
      <c r="I510" s="887">
        <f t="shared" ref="I510:I534" si="23">SUM(J510:K510)</f>
        <v>0</v>
      </c>
      <c r="J510" s="887">
        <v>0</v>
      </c>
      <c r="K510" s="887">
        <v>0</v>
      </c>
      <c r="L510" s="887">
        <f t="shared" ref="L510:L534" si="24">SUM(M510:N510)</f>
        <v>0</v>
      </c>
      <c r="M510" s="887">
        <v>0</v>
      </c>
      <c r="N510" s="887">
        <v>0</v>
      </c>
      <c r="O510" s="304" t="s">
        <v>89</v>
      </c>
    </row>
    <row r="511" spans="3:15" x14ac:dyDescent="0.25">
      <c r="C511" s="828">
        <v>67</v>
      </c>
      <c r="D511" s="558">
        <f t="shared" si="22"/>
        <v>0</v>
      </c>
      <c r="E511" s="304" t="s">
        <v>89</v>
      </c>
      <c r="F511" s="561" t="s">
        <v>521</v>
      </c>
      <c r="G511" s="561" t="s">
        <v>521</v>
      </c>
      <c r="H511" s="561" t="s">
        <v>521</v>
      </c>
      <c r="I511" s="887">
        <f t="shared" si="23"/>
        <v>0</v>
      </c>
      <c r="J511" s="887">
        <v>0</v>
      </c>
      <c r="K511" s="887">
        <v>0</v>
      </c>
      <c r="L511" s="887">
        <f t="shared" si="24"/>
        <v>0</v>
      </c>
      <c r="M511" s="887">
        <v>0</v>
      </c>
      <c r="N511" s="887">
        <v>0</v>
      </c>
      <c r="O511" s="304" t="s">
        <v>89</v>
      </c>
    </row>
    <row r="512" spans="3:15" x14ac:dyDescent="0.25">
      <c r="C512" s="828">
        <v>68</v>
      </c>
      <c r="D512" s="558">
        <f t="shared" si="22"/>
        <v>0</v>
      </c>
      <c r="E512" s="304" t="s">
        <v>89</v>
      </c>
      <c r="F512" s="561" t="s">
        <v>521</v>
      </c>
      <c r="G512" s="561" t="s">
        <v>521</v>
      </c>
      <c r="H512" s="561" t="s">
        <v>521</v>
      </c>
      <c r="I512" s="887">
        <f t="shared" si="23"/>
        <v>0</v>
      </c>
      <c r="J512" s="887">
        <v>0</v>
      </c>
      <c r="K512" s="887">
        <v>0</v>
      </c>
      <c r="L512" s="887">
        <f t="shared" si="24"/>
        <v>0</v>
      </c>
      <c r="M512" s="887">
        <v>0</v>
      </c>
      <c r="N512" s="887">
        <v>0</v>
      </c>
      <c r="O512" s="304" t="s">
        <v>89</v>
      </c>
    </row>
    <row r="513" spans="3:15" x14ac:dyDescent="0.25">
      <c r="C513" s="828">
        <v>69</v>
      </c>
      <c r="D513" s="558">
        <f t="shared" si="22"/>
        <v>0</v>
      </c>
      <c r="E513" s="304" t="s">
        <v>89</v>
      </c>
      <c r="F513" s="561" t="s">
        <v>521</v>
      </c>
      <c r="G513" s="561" t="s">
        <v>521</v>
      </c>
      <c r="H513" s="561" t="s">
        <v>521</v>
      </c>
      <c r="I513" s="887">
        <f t="shared" si="23"/>
        <v>0</v>
      </c>
      <c r="J513" s="887">
        <v>0</v>
      </c>
      <c r="K513" s="887">
        <v>0</v>
      </c>
      <c r="L513" s="887">
        <f t="shared" si="24"/>
        <v>0</v>
      </c>
      <c r="M513" s="887">
        <v>0</v>
      </c>
      <c r="N513" s="887">
        <v>0</v>
      </c>
      <c r="O513" s="304" t="s">
        <v>89</v>
      </c>
    </row>
    <row r="514" spans="3:15" x14ac:dyDescent="0.25">
      <c r="C514" s="828">
        <v>70</v>
      </c>
      <c r="D514" s="558">
        <f t="shared" si="22"/>
        <v>0</v>
      </c>
      <c r="E514" s="304" t="s">
        <v>89</v>
      </c>
      <c r="F514" s="561" t="s">
        <v>521</v>
      </c>
      <c r="G514" s="561" t="s">
        <v>521</v>
      </c>
      <c r="H514" s="561" t="s">
        <v>521</v>
      </c>
      <c r="I514" s="887">
        <f t="shared" si="23"/>
        <v>0</v>
      </c>
      <c r="J514" s="887">
        <v>0</v>
      </c>
      <c r="K514" s="887">
        <v>0</v>
      </c>
      <c r="L514" s="887">
        <f t="shared" si="24"/>
        <v>0</v>
      </c>
      <c r="M514" s="887">
        <v>0</v>
      </c>
      <c r="N514" s="887">
        <v>0</v>
      </c>
      <c r="O514" s="304" t="s">
        <v>89</v>
      </c>
    </row>
    <row r="515" spans="3:15" x14ac:dyDescent="0.25">
      <c r="C515" s="828">
        <v>71</v>
      </c>
      <c r="D515" s="558">
        <f t="shared" si="22"/>
        <v>0</v>
      </c>
      <c r="E515" s="304" t="s">
        <v>89</v>
      </c>
      <c r="F515" s="561" t="s">
        <v>521</v>
      </c>
      <c r="G515" s="561" t="s">
        <v>521</v>
      </c>
      <c r="H515" s="561" t="s">
        <v>521</v>
      </c>
      <c r="I515" s="887">
        <f t="shared" si="23"/>
        <v>0</v>
      </c>
      <c r="J515" s="887">
        <v>0</v>
      </c>
      <c r="K515" s="887">
        <v>0</v>
      </c>
      <c r="L515" s="887">
        <f t="shared" si="24"/>
        <v>0</v>
      </c>
      <c r="M515" s="887">
        <v>0</v>
      </c>
      <c r="N515" s="887">
        <v>0</v>
      </c>
      <c r="O515" s="304" t="s">
        <v>89</v>
      </c>
    </row>
    <row r="516" spans="3:15" x14ac:dyDescent="0.25">
      <c r="C516" s="828">
        <v>72</v>
      </c>
      <c r="D516" s="558">
        <f t="shared" si="22"/>
        <v>0</v>
      </c>
      <c r="E516" s="304" t="s">
        <v>89</v>
      </c>
      <c r="F516" s="561" t="s">
        <v>521</v>
      </c>
      <c r="G516" s="561" t="s">
        <v>521</v>
      </c>
      <c r="H516" s="561" t="s">
        <v>521</v>
      </c>
      <c r="I516" s="887">
        <f t="shared" si="23"/>
        <v>0</v>
      </c>
      <c r="J516" s="887">
        <v>0</v>
      </c>
      <c r="K516" s="887">
        <v>0</v>
      </c>
      <c r="L516" s="887">
        <f t="shared" si="24"/>
        <v>0</v>
      </c>
      <c r="M516" s="887">
        <v>0</v>
      </c>
      <c r="N516" s="887">
        <v>0</v>
      </c>
      <c r="O516" s="304" t="s">
        <v>89</v>
      </c>
    </row>
    <row r="517" spans="3:15" x14ac:dyDescent="0.25">
      <c r="C517" s="828">
        <v>73</v>
      </c>
      <c r="D517" s="558">
        <f t="shared" si="22"/>
        <v>0</v>
      </c>
      <c r="E517" s="304" t="s">
        <v>89</v>
      </c>
      <c r="F517" s="561" t="s">
        <v>521</v>
      </c>
      <c r="G517" s="561" t="s">
        <v>521</v>
      </c>
      <c r="H517" s="561" t="s">
        <v>521</v>
      </c>
      <c r="I517" s="887">
        <f t="shared" si="23"/>
        <v>0</v>
      </c>
      <c r="J517" s="887">
        <v>0</v>
      </c>
      <c r="K517" s="887">
        <v>0</v>
      </c>
      <c r="L517" s="887">
        <f t="shared" si="24"/>
        <v>0</v>
      </c>
      <c r="M517" s="887">
        <v>0</v>
      </c>
      <c r="N517" s="887">
        <v>0</v>
      </c>
      <c r="O517" s="304" t="s">
        <v>89</v>
      </c>
    </row>
    <row r="518" spans="3:15" x14ac:dyDescent="0.25">
      <c r="C518" s="828">
        <v>74</v>
      </c>
      <c r="D518" s="558">
        <f t="shared" si="22"/>
        <v>0</v>
      </c>
      <c r="E518" s="304" t="s">
        <v>89</v>
      </c>
      <c r="F518" s="561" t="s">
        <v>521</v>
      </c>
      <c r="G518" s="561" t="s">
        <v>521</v>
      </c>
      <c r="H518" s="561" t="s">
        <v>521</v>
      </c>
      <c r="I518" s="887">
        <f t="shared" si="23"/>
        <v>0</v>
      </c>
      <c r="J518" s="887">
        <v>0</v>
      </c>
      <c r="K518" s="887">
        <v>0</v>
      </c>
      <c r="L518" s="887">
        <f t="shared" si="24"/>
        <v>0</v>
      </c>
      <c r="M518" s="887">
        <v>0</v>
      </c>
      <c r="N518" s="887">
        <v>0</v>
      </c>
      <c r="O518" s="304" t="s">
        <v>89</v>
      </c>
    </row>
    <row r="519" spans="3:15" x14ac:dyDescent="0.25">
      <c r="C519" s="828">
        <v>75</v>
      </c>
      <c r="D519" s="558">
        <f t="shared" si="22"/>
        <v>0</v>
      </c>
      <c r="E519" s="304" t="s">
        <v>89</v>
      </c>
      <c r="F519" s="561" t="s">
        <v>521</v>
      </c>
      <c r="G519" s="561" t="s">
        <v>521</v>
      </c>
      <c r="H519" s="561" t="s">
        <v>521</v>
      </c>
      <c r="I519" s="887">
        <f t="shared" si="23"/>
        <v>0</v>
      </c>
      <c r="J519" s="887">
        <v>0</v>
      </c>
      <c r="K519" s="887">
        <v>0</v>
      </c>
      <c r="L519" s="887">
        <f t="shared" si="24"/>
        <v>0</v>
      </c>
      <c r="M519" s="887">
        <v>0</v>
      </c>
      <c r="N519" s="887">
        <v>0</v>
      </c>
      <c r="O519" s="304" t="s">
        <v>89</v>
      </c>
    </row>
    <row r="520" spans="3:15" x14ac:dyDescent="0.25">
      <c r="C520" s="828">
        <v>76</v>
      </c>
      <c r="D520" s="558">
        <f t="shared" si="22"/>
        <v>0</v>
      </c>
      <c r="E520" s="304" t="s">
        <v>89</v>
      </c>
      <c r="F520" s="561" t="s">
        <v>521</v>
      </c>
      <c r="G520" s="561" t="s">
        <v>521</v>
      </c>
      <c r="H520" s="561" t="s">
        <v>521</v>
      </c>
      <c r="I520" s="887">
        <f t="shared" si="23"/>
        <v>0</v>
      </c>
      <c r="J520" s="887">
        <v>0</v>
      </c>
      <c r="K520" s="887">
        <v>0</v>
      </c>
      <c r="L520" s="887">
        <f t="shared" si="24"/>
        <v>0</v>
      </c>
      <c r="M520" s="887">
        <v>0</v>
      </c>
      <c r="N520" s="887">
        <v>0</v>
      </c>
      <c r="O520" s="304" t="s">
        <v>89</v>
      </c>
    </row>
    <row r="521" spans="3:15" x14ac:dyDescent="0.25">
      <c r="C521" s="828">
        <v>77</v>
      </c>
      <c r="D521" s="558">
        <f t="shared" si="22"/>
        <v>0</v>
      </c>
      <c r="E521" s="304" t="s">
        <v>89</v>
      </c>
      <c r="F521" s="561" t="s">
        <v>521</v>
      </c>
      <c r="G521" s="561" t="s">
        <v>521</v>
      </c>
      <c r="H521" s="561" t="s">
        <v>521</v>
      </c>
      <c r="I521" s="887">
        <f t="shared" si="23"/>
        <v>0</v>
      </c>
      <c r="J521" s="887">
        <v>0</v>
      </c>
      <c r="K521" s="887">
        <v>0</v>
      </c>
      <c r="L521" s="887">
        <f t="shared" si="24"/>
        <v>0</v>
      </c>
      <c r="M521" s="887">
        <v>0</v>
      </c>
      <c r="N521" s="887">
        <v>0</v>
      </c>
      <c r="O521" s="304" t="s">
        <v>89</v>
      </c>
    </row>
    <row r="522" spans="3:15" x14ac:dyDescent="0.25">
      <c r="C522" s="828">
        <v>78</v>
      </c>
      <c r="D522" s="558">
        <f t="shared" si="22"/>
        <v>0</v>
      </c>
      <c r="E522" s="304" t="s">
        <v>89</v>
      </c>
      <c r="F522" s="561" t="s">
        <v>521</v>
      </c>
      <c r="G522" s="561" t="s">
        <v>521</v>
      </c>
      <c r="H522" s="561" t="s">
        <v>521</v>
      </c>
      <c r="I522" s="887">
        <f t="shared" si="23"/>
        <v>0</v>
      </c>
      <c r="J522" s="887">
        <v>0</v>
      </c>
      <c r="K522" s="887">
        <v>0</v>
      </c>
      <c r="L522" s="887">
        <f t="shared" si="24"/>
        <v>0</v>
      </c>
      <c r="M522" s="887">
        <v>0</v>
      </c>
      <c r="N522" s="887">
        <v>0</v>
      </c>
      <c r="O522" s="304" t="s">
        <v>89</v>
      </c>
    </row>
    <row r="523" spans="3:15" x14ac:dyDescent="0.25">
      <c r="C523" s="828">
        <v>79</v>
      </c>
      <c r="D523" s="558">
        <f t="shared" si="22"/>
        <v>0</v>
      </c>
      <c r="E523" s="304" t="s">
        <v>89</v>
      </c>
      <c r="F523" s="561" t="s">
        <v>521</v>
      </c>
      <c r="G523" s="561" t="s">
        <v>521</v>
      </c>
      <c r="H523" s="561" t="s">
        <v>521</v>
      </c>
      <c r="I523" s="887">
        <f t="shared" si="23"/>
        <v>0</v>
      </c>
      <c r="J523" s="887">
        <v>0</v>
      </c>
      <c r="K523" s="887">
        <v>0</v>
      </c>
      <c r="L523" s="887">
        <f t="shared" si="24"/>
        <v>0</v>
      </c>
      <c r="M523" s="887">
        <v>0</v>
      </c>
      <c r="N523" s="887">
        <v>0</v>
      </c>
      <c r="O523" s="304" t="s">
        <v>89</v>
      </c>
    </row>
    <row r="524" spans="3:15" x14ac:dyDescent="0.25">
      <c r="C524" s="828">
        <v>80</v>
      </c>
      <c r="D524" s="558">
        <f t="shared" si="22"/>
        <v>0</v>
      </c>
      <c r="E524" s="304" t="s">
        <v>89</v>
      </c>
      <c r="F524" s="561" t="s">
        <v>521</v>
      </c>
      <c r="G524" s="561" t="s">
        <v>521</v>
      </c>
      <c r="H524" s="561" t="s">
        <v>521</v>
      </c>
      <c r="I524" s="887">
        <f t="shared" si="23"/>
        <v>0</v>
      </c>
      <c r="J524" s="887">
        <v>0</v>
      </c>
      <c r="K524" s="887">
        <v>0</v>
      </c>
      <c r="L524" s="887">
        <f t="shared" si="24"/>
        <v>0</v>
      </c>
      <c r="M524" s="887">
        <v>0</v>
      </c>
      <c r="N524" s="887">
        <v>0</v>
      </c>
      <c r="O524" s="304" t="s">
        <v>89</v>
      </c>
    </row>
    <row r="525" spans="3:15" x14ac:dyDescent="0.25">
      <c r="C525" s="828">
        <v>81</v>
      </c>
      <c r="D525" s="558">
        <f t="shared" si="22"/>
        <v>0</v>
      </c>
      <c r="E525" s="304" t="s">
        <v>89</v>
      </c>
      <c r="F525" s="561" t="s">
        <v>521</v>
      </c>
      <c r="G525" s="561" t="s">
        <v>521</v>
      </c>
      <c r="H525" s="561" t="s">
        <v>521</v>
      </c>
      <c r="I525" s="887">
        <f t="shared" si="23"/>
        <v>0</v>
      </c>
      <c r="J525" s="887">
        <v>0</v>
      </c>
      <c r="K525" s="887">
        <v>0</v>
      </c>
      <c r="L525" s="887">
        <f t="shared" si="24"/>
        <v>0</v>
      </c>
      <c r="M525" s="887">
        <v>0</v>
      </c>
      <c r="N525" s="887">
        <v>0</v>
      </c>
      <c r="O525" s="304" t="s">
        <v>89</v>
      </c>
    </row>
    <row r="526" spans="3:15" x14ac:dyDescent="0.25">
      <c r="C526" s="828">
        <v>82</v>
      </c>
      <c r="D526" s="558">
        <f t="shared" si="22"/>
        <v>0</v>
      </c>
      <c r="E526" s="304" t="s">
        <v>89</v>
      </c>
      <c r="F526" s="561" t="s">
        <v>521</v>
      </c>
      <c r="G526" s="561" t="s">
        <v>521</v>
      </c>
      <c r="H526" s="561" t="s">
        <v>521</v>
      </c>
      <c r="I526" s="887">
        <f t="shared" si="23"/>
        <v>0</v>
      </c>
      <c r="J526" s="887">
        <v>0</v>
      </c>
      <c r="K526" s="887">
        <v>0</v>
      </c>
      <c r="L526" s="887">
        <f t="shared" si="24"/>
        <v>0</v>
      </c>
      <c r="M526" s="887">
        <v>0</v>
      </c>
      <c r="N526" s="887">
        <v>0</v>
      </c>
      <c r="O526" s="304" t="s">
        <v>89</v>
      </c>
    </row>
    <row r="527" spans="3:15" x14ac:dyDescent="0.25">
      <c r="C527" s="828">
        <v>83</v>
      </c>
      <c r="D527" s="558">
        <f t="shared" si="22"/>
        <v>0</v>
      </c>
      <c r="E527" s="304" t="s">
        <v>89</v>
      </c>
      <c r="F527" s="561" t="s">
        <v>521</v>
      </c>
      <c r="G527" s="561" t="s">
        <v>521</v>
      </c>
      <c r="H527" s="561" t="s">
        <v>521</v>
      </c>
      <c r="I527" s="887">
        <f t="shared" si="23"/>
        <v>0</v>
      </c>
      <c r="J527" s="887">
        <v>0</v>
      </c>
      <c r="K527" s="887">
        <v>0</v>
      </c>
      <c r="L527" s="887">
        <f t="shared" si="24"/>
        <v>0</v>
      </c>
      <c r="M527" s="887">
        <v>0</v>
      </c>
      <c r="N527" s="887">
        <v>0</v>
      </c>
      <c r="O527" s="304" t="s">
        <v>89</v>
      </c>
    </row>
    <row r="528" spans="3:15" x14ac:dyDescent="0.25">
      <c r="C528" s="828">
        <v>84</v>
      </c>
      <c r="D528" s="558">
        <f t="shared" si="22"/>
        <v>0</v>
      </c>
      <c r="E528" s="304" t="s">
        <v>89</v>
      </c>
      <c r="F528" s="561" t="s">
        <v>521</v>
      </c>
      <c r="G528" s="561" t="s">
        <v>521</v>
      </c>
      <c r="H528" s="561" t="s">
        <v>521</v>
      </c>
      <c r="I528" s="887">
        <f t="shared" si="23"/>
        <v>0</v>
      </c>
      <c r="J528" s="887">
        <v>0</v>
      </c>
      <c r="K528" s="887">
        <v>0</v>
      </c>
      <c r="L528" s="887">
        <f t="shared" si="24"/>
        <v>0</v>
      </c>
      <c r="M528" s="887">
        <v>0</v>
      </c>
      <c r="N528" s="887">
        <v>0</v>
      </c>
      <c r="O528" s="304" t="s">
        <v>89</v>
      </c>
    </row>
    <row r="529" spans="1:15" x14ac:dyDescent="0.25">
      <c r="C529" s="828">
        <v>85</v>
      </c>
      <c r="D529" s="558">
        <f t="shared" si="22"/>
        <v>0</v>
      </c>
      <c r="E529" s="304" t="s">
        <v>89</v>
      </c>
      <c r="F529" s="561" t="s">
        <v>521</v>
      </c>
      <c r="G529" s="561" t="s">
        <v>521</v>
      </c>
      <c r="H529" s="561" t="s">
        <v>521</v>
      </c>
      <c r="I529" s="887">
        <f t="shared" si="23"/>
        <v>0</v>
      </c>
      <c r="J529" s="887">
        <v>0</v>
      </c>
      <c r="K529" s="887">
        <v>0</v>
      </c>
      <c r="L529" s="887">
        <f t="shared" si="24"/>
        <v>0</v>
      </c>
      <c r="M529" s="887">
        <v>0</v>
      </c>
      <c r="N529" s="887">
        <v>0</v>
      </c>
      <c r="O529" s="304" t="s">
        <v>89</v>
      </c>
    </row>
    <row r="530" spans="1:15" x14ac:dyDescent="0.25">
      <c r="C530" s="828">
        <v>86</v>
      </c>
      <c r="D530" s="558">
        <f t="shared" si="22"/>
        <v>0</v>
      </c>
      <c r="E530" s="304" t="s">
        <v>89</v>
      </c>
      <c r="F530" s="561" t="s">
        <v>521</v>
      </c>
      <c r="G530" s="561" t="s">
        <v>521</v>
      </c>
      <c r="H530" s="561" t="s">
        <v>521</v>
      </c>
      <c r="I530" s="887">
        <f t="shared" si="23"/>
        <v>0</v>
      </c>
      <c r="J530" s="887">
        <v>0</v>
      </c>
      <c r="K530" s="887">
        <v>0</v>
      </c>
      <c r="L530" s="887">
        <f t="shared" si="24"/>
        <v>0</v>
      </c>
      <c r="M530" s="887">
        <v>0</v>
      </c>
      <c r="N530" s="887">
        <v>0</v>
      </c>
      <c r="O530" s="304" t="s">
        <v>89</v>
      </c>
    </row>
    <row r="531" spans="1:15" x14ac:dyDescent="0.25">
      <c r="C531" s="828">
        <v>87</v>
      </c>
      <c r="D531" s="558">
        <f t="shared" si="22"/>
        <v>0</v>
      </c>
      <c r="E531" s="304" t="s">
        <v>89</v>
      </c>
      <c r="F531" s="561" t="s">
        <v>521</v>
      </c>
      <c r="G531" s="561" t="s">
        <v>521</v>
      </c>
      <c r="H531" s="561" t="s">
        <v>521</v>
      </c>
      <c r="I531" s="887">
        <f t="shared" si="23"/>
        <v>0</v>
      </c>
      <c r="J531" s="887">
        <v>0</v>
      </c>
      <c r="K531" s="887">
        <v>0</v>
      </c>
      <c r="L531" s="887">
        <f t="shared" si="24"/>
        <v>0</v>
      </c>
      <c r="M531" s="887">
        <v>0</v>
      </c>
      <c r="N531" s="887">
        <v>0</v>
      </c>
      <c r="O531" s="304" t="s">
        <v>89</v>
      </c>
    </row>
    <row r="532" spans="1:15" x14ac:dyDescent="0.25">
      <c r="C532" s="828">
        <v>88</v>
      </c>
      <c r="D532" s="558">
        <f t="shared" si="22"/>
        <v>0</v>
      </c>
      <c r="E532" s="304" t="s">
        <v>89</v>
      </c>
      <c r="F532" s="561" t="s">
        <v>521</v>
      </c>
      <c r="G532" s="561" t="s">
        <v>521</v>
      </c>
      <c r="H532" s="561" t="s">
        <v>521</v>
      </c>
      <c r="I532" s="887">
        <f t="shared" si="23"/>
        <v>0</v>
      </c>
      <c r="J532" s="887">
        <v>0</v>
      </c>
      <c r="K532" s="887">
        <v>0</v>
      </c>
      <c r="L532" s="887">
        <f t="shared" si="24"/>
        <v>0</v>
      </c>
      <c r="M532" s="887">
        <v>0</v>
      </c>
      <c r="N532" s="887">
        <v>0</v>
      </c>
      <c r="O532" s="304" t="s">
        <v>89</v>
      </c>
    </row>
    <row r="533" spans="1:15" x14ac:dyDescent="0.25">
      <c r="C533" s="828">
        <v>89</v>
      </c>
      <c r="D533" s="558">
        <f t="shared" si="22"/>
        <v>0</v>
      </c>
      <c r="E533" s="304" t="s">
        <v>89</v>
      </c>
      <c r="F533" s="561" t="s">
        <v>521</v>
      </c>
      <c r="G533" s="561" t="s">
        <v>521</v>
      </c>
      <c r="H533" s="561" t="s">
        <v>521</v>
      </c>
      <c r="I533" s="887">
        <f t="shared" si="23"/>
        <v>0</v>
      </c>
      <c r="J533" s="887">
        <v>0</v>
      </c>
      <c r="K533" s="887">
        <v>0</v>
      </c>
      <c r="L533" s="887">
        <f t="shared" si="24"/>
        <v>0</v>
      </c>
      <c r="M533" s="887">
        <v>0</v>
      </c>
      <c r="N533" s="887">
        <v>0</v>
      </c>
      <c r="O533" s="304" t="s">
        <v>89</v>
      </c>
    </row>
    <row r="534" spans="1:15" x14ac:dyDescent="0.25">
      <c r="C534" s="828" t="s">
        <v>509</v>
      </c>
      <c r="D534" s="559">
        <f t="shared" si="22"/>
        <v>0</v>
      </c>
      <c r="E534" s="308" t="s">
        <v>89</v>
      </c>
      <c r="F534" s="562" t="s">
        <v>521</v>
      </c>
      <c r="G534" s="562" t="s">
        <v>521</v>
      </c>
      <c r="H534" s="562" t="s">
        <v>521</v>
      </c>
      <c r="I534" s="888">
        <f t="shared" si="23"/>
        <v>0</v>
      </c>
      <c r="J534" s="888">
        <v>0</v>
      </c>
      <c r="K534" s="888">
        <v>0</v>
      </c>
      <c r="L534" s="888">
        <f t="shared" si="24"/>
        <v>0</v>
      </c>
      <c r="M534" s="888">
        <v>0</v>
      </c>
      <c r="N534" s="888">
        <v>0</v>
      </c>
      <c r="O534" s="304" t="s">
        <v>89</v>
      </c>
    </row>
    <row r="535" spans="1:15" x14ac:dyDescent="0.25">
      <c r="O535" s="304" t="s">
        <v>89</v>
      </c>
    </row>
    <row r="536" spans="1:15" x14ac:dyDescent="0.25">
      <c r="A536" s="312" t="s">
        <v>89</v>
      </c>
      <c r="B536" s="312" t="s">
        <v>89</v>
      </c>
      <c r="C536" s="312" t="s">
        <v>89</v>
      </c>
      <c r="D536" s="312" t="s">
        <v>89</v>
      </c>
      <c r="E536" s="312" t="s">
        <v>89</v>
      </c>
      <c r="F536" s="312" t="s">
        <v>89</v>
      </c>
      <c r="G536" s="312" t="s">
        <v>89</v>
      </c>
      <c r="H536" s="312" t="s">
        <v>89</v>
      </c>
      <c r="I536" s="312" t="s">
        <v>89</v>
      </c>
      <c r="J536" s="312" t="s">
        <v>89</v>
      </c>
      <c r="K536" s="312" t="s">
        <v>89</v>
      </c>
      <c r="L536" s="312" t="s">
        <v>89</v>
      </c>
      <c r="M536" s="312" t="s">
        <v>89</v>
      </c>
      <c r="N536" s="312" t="s">
        <v>89</v>
      </c>
      <c r="O536" s="304" t="s">
        <v>89</v>
      </c>
    </row>
  </sheetData>
  <mergeCells count="123">
    <mergeCell ref="C4:C5"/>
    <mergeCell ref="D4:D5"/>
    <mergeCell ref="M9:N11"/>
    <mergeCell ref="J10:K11"/>
    <mergeCell ref="I31:J31"/>
    <mergeCell ref="C36:C37"/>
    <mergeCell ref="D36:D37"/>
    <mergeCell ref="T75:T76"/>
    <mergeCell ref="U75:U76"/>
    <mergeCell ref="V75:V76"/>
    <mergeCell ref="C87:D87"/>
    <mergeCell ref="C97:C98"/>
    <mergeCell ref="D97:D98"/>
    <mergeCell ref="C63:C64"/>
    <mergeCell ref="D63:D64"/>
    <mergeCell ref="C66:C67"/>
    <mergeCell ref="D66:D67"/>
    <mergeCell ref="R75:R76"/>
    <mergeCell ref="S75:S76"/>
    <mergeCell ref="J137:L137"/>
    <mergeCell ref="C138:D138"/>
    <mergeCell ref="C139:D139"/>
    <mergeCell ref="X100:X101"/>
    <mergeCell ref="C131:C132"/>
    <mergeCell ref="D131:D132"/>
    <mergeCell ref="C134:D134"/>
    <mergeCell ref="H134:I134"/>
    <mergeCell ref="M134:N134"/>
    <mergeCell ref="R100:R101"/>
    <mergeCell ref="S100:S101"/>
    <mergeCell ref="T100:T101"/>
    <mergeCell ref="U100:U101"/>
    <mergeCell ref="V100:V101"/>
    <mergeCell ref="W100:W101"/>
    <mergeCell ref="C140:D140"/>
    <mergeCell ref="C141:D141"/>
    <mergeCell ref="C142:D142"/>
    <mergeCell ref="C143:D143"/>
    <mergeCell ref="C144:D144"/>
    <mergeCell ref="C145:D145"/>
    <mergeCell ref="C135:D135"/>
    <mergeCell ref="C136:D136"/>
    <mergeCell ref="C137:D137"/>
    <mergeCell ref="C152:D152"/>
    <mergeCell ref="J152:L152"/>
    <mergeCell ref="C153:D153"/>
    <mergeCell ref="C154:D154"/>
    <mergeCell ref="C155:D155"/>
    <mergeCell ref="C156:D156"/>
    <mergeCell ref="C146:D146"/>
    <mergeCell ref="C147:D147"/>
    <mergeCell ref="C148:D148"/>
    <mergeCell ref="C149:D149"/>
    <mergeCell ref="C150:D150"/>
    <mergeCell ref="C151:D151"/>
    <mergeCell ref="M164:N164"/>
    <mergeCell ref="C165:D165"/>
    <mergeCell ref="C166:D166"/>
    <mergeCell ref="C167:D167"/>
    <mergeCell ref="C168:D168"/>
    <mergeCell ref="C169:D169"/>
    <mergeCell ref="C157:D157"/>
    <mergeCell ref="C158:D158"/>
    <mergeCell ref="C159:D159"/>
    <mergeCell ref="C161:C162"/>
    <mergeCell ref="D161:D162"/>
    <mergeCell ref="C164:D164"/>
    <mergeCell ref="J202:L202"/>
    <mergeCell ref="C175:D175"/>
    <mergeCell ref="C176:D176"/>
    <mergeCell ref="C178:C179"/>
    <mergeCell ref="D178:D179"/>
    <mergeCell ref="C196:D196"/>
    <mergeCell ref="C197:D197"/>
    <mergeCell ref="C170:D170"/>
    <mergeCell ref="J170:L170"/>
    <mergeCell ref="C171:D171"/>
    <mergeCell ref="C172:D172"/>
    <mergeCell ref="C173:D173"/>
    <mergeCell ref="C174:D174"/>
    <mergeCell ref="C203:D203"/>
    <mergeCell ref="C204:D204"/>
    <mergeCell ref="C205:D205"/>
    <mergeCell ref="C206:D206"/>
    <mergeCell ref="C211:D211"/>
    <mergeCell ref="C212:D212"/>
    <mergeCell ref="C207:D207"/>
    <mergeCell ref="C198:D198"/>
    <mergeCell ref="C199:D199"/>
    <mergeCell ref="C200:D200"/>
    <mergeCell ref="C201:D201"/>
    <mergeCell ref="C202:D202"/>
    <mergeCell ref="H325:M325"/>
    <mergeCell ref="H326:M326"/>
    <mergeCell ref="F270:G270"/>
    <mergeCell ref="F271:G271"/>
    <mergeCell ref="F272:G272"/>
    <mergeCell ref="F273:G273"/>
    <mergeCell ref="F274:G274"/>
    <mergeCell ref="C341:C342"/>
    <mergeCell ref="D341:D342"/>
    <mergeCell ref="H316:M316"/>
    <mergeCell ref="H317:M317"/>
    <mergeCell ref="H318:M318"/>
    <mergeCell ref="H319:M319"/>
    <mergeCell ref="H320:M320"/>
    <mergeCell ref="H321:M321"/>
    <mergeCell ref="H323:M323"/>
    <mergeCell ref="H324:M324"/>
    <mergeCell ref="J207:L207"/>
    <mergeCell ref="C208:D208"/>
    <mergeCell ref="C209:D209"/>
    <mergeCell ref="C210:D210"/>
    <mergeCell ref="C215:D215"/>
    <mergeCell ref="H322:M322"/>
    <mergeCell ref="C306:C307"/>
    <mergeCell ref="D306:D307"/>
    <mergeCell ref="C231:C232"/>
    <mergeCell ref="D231:D232"/>
    <mergeCell ref="C259:C260"/>
    <mergeCell ref="D259:D260"/>
    <mergeCell ref="F268:G268"/>
    <mergeCell ref="F269:G269"/>
  </mergeCells>
  <conditionalFormatting sqref="Q182:W188">
    <cfRule type="expression" dxfId="22" priority="2" stopIfTrue="1">
      <formula>$H$125="upward"</formula>
    </cfRule>
  </conditionalFormatting>
  <conditionalFormatting sqref="Q190:S192">
    <cfRule type="expression" dxfId="21" priority="1" stopIfTrue="1">
      <formula>$H$125="upward"</formula>
    </cfRule>
  </conditionalFormatting>
  <dataValidations count="5">
    <dataValidation type="list" allowBlank="1" showInputMessage="1" showErrorMessage="1" sqref="I312">
      <formula1>$P$315:$P$317</formula1>
    </dataValidation>
    <dataValidation type="list" allowBlank="1" showInputMessage="1" showErrorMessage="1" sqref="H316:M326">
      <formula1>$Q$315:$Q$318</formula1>
    </dataValidation>
    <dataValidation type="list" allowBlank="1" showInputMessage="1" showErrorMessage="1" sqref="D316:D326">
      <formula1>$P$315:$P$318</formula1>
    </dataValidation>
    <dataValidation type="list" allowBlank="1" showInputMessage="1" showErrorMessage="1" sqref="I31:J31">
      <formula1>$Q$31:$Q$34</formula1>
    </dataValidation>
    <dataValidation type="list" allowBlank="1" showInputMessage="1" showErrorMessage="1" sqref="D6">
      <formula1>$Q$6:$Q$8</formula1>
    </dataValidation>
  </dataValidations>
  <pageMargins left="0.25" right="0.25" top="0.75" bottom="0.75" header="0.3" footer="0.3"/>
  <pageSetup paperSize="9" orientation="landscape" r:id="rId1"/>
  <rowBreaks count="8" manualBreakCount="8">
    <brk id="35" max="16383" man="1"/>
    <brk id="62" max="16383" man="1"/>
    <brk id="96" max="16383" man="1"/>
    <brk id="130" max="16383" man="1"/>
    <brk id="160" max="16383" man="1"/>
    <brk id="177" max="16383" man="1"/>
    <brk id="258" max="16383" man="1"/>
    <brk id="305" max="16383" man="1"/>
  </rowBreak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9" tint="-0.249977111117893"/>
    <pageSetUpPr fitToPage="1"/>
  </sheetPr>
  <dimension ref="A1:O103"/>
  <sheetViews>
    <sheetView topLeftCell="A46" workbookViewId="0">
      <selection activeCell="I70" sqref="I70"/>
    </sheetView>
  </sheetViews>
  <sheetFormatPr defaultRowHeight="15" x14ac:dyDescent="0.25"/>
  <cols>
    <col min="2" max="2" width="56.5703125" customWidth="1"/>
    <col min="3" max="6" width="14.28515625" customWidth="1"/>
    <col min="7" max="7" width="3.42578125" customWidth="1"/>
  </cols>
  <sheetData>
    <row r="1" spans="1:10" ht="15.75" x14ac:dyDescent="0.25">
      <c r="A1" s="499" t="str">
        <f>Participant!$A$1</f>
        <v>&lt;Participant's name&gt;</v>
      </c>
      <c r="B1" s="494"/>
      <c r="C1" s="494"/>
      <c r="D1" s="503"/>
      <c r="E1" s="512"/>
      <c r="F1" s="485" t="str">
        <f>Participant!$E$1</f>
        <v>2013 - HUF (Thousands)</v>
      </c>
      <c r="G1" s="18" t="s">
        <v>89</v>
      </c>
    </row>
    <row r="2" spans="1:10" ht="15.75" x14ac:dyDescent="0.25">
      <c r="A2" s="486" t="str">
        <f>Participant!$A$2</f>
        <v>-</v>
      </c>
      <c r="B2" s="496"/>
      <c r="C2" s="489" t="s">
        <v>450</v>
      </c>
      <c r="D2" s="513"/>
      <c r="E2" s="513"/>
      <c r="F2" s="492" t="str">
        <f>Version</f>
        <v>2013 12 31</v>
      </c>
      <c r="G2" s="18" t="s">
        <v>89</v>
      </c>
    </row>
    <row r="3" spans="1:10" x14ac:dyDescent="0.25">
      <c r="G3" s="18" t="s">
        <v>89</v>
      </c>
    </row>
    <row r="4" spans="1:10" ht="21" x14ac:dyDescent="0.35">
      <c r="B4" s="79"/>
      <c r="G4" s="18" t="s">
        <v>89</v>
      </c>
    </row>
    <row r="5" spans="1:10" x14ac:dyDescent="0.25">
      <c r="A5" s="46">
        <v>1</v>
      </c>
      <c r="B5" s="46" t="s">
        <v>485</v>
      </c>
      <c r="C5" s="98"/>
      <c r="D5" s="99"/>
      <c r="E5" s="46"/>
      <c r="F5" s="46"/>
      <c r="G5" s="18" t="s">
        <v>89</v>
      </c>
    </row>
    <row r="6" spans="1:10" s="208" customFormat="1" x14ac:dyDescent="0.25">
      <c r="B6" s="261" t="s">
        <v>733</v>
      </c>
      <c r="C6" s="911"/>
      <c r="D6" s="995" t="str">
        <f>'0. Alap'!$D6</f>
        <v>Not filled</v>
      </c>
      <c r="E6" s="995" t="str">
        <f>'1. Illeszkedési kiigazítás'!$D6</f>
        <v>Not filled</v>
      </c>
      <c r="F6" s="995" t="str">
        <f>'2. VA és TM'!$D6</f>
        <v>Not filled</v>
      </c>
      <c r="G6" s="18" t="s">
        <v>89</v>
      </c>
    </row>
    <row r="7" spans="1:10" s="208" customFormat="1" x14ac:dyDescent="0.25">
      <c r="A7" s="900" t="s">
        <v>524</v>
      </c>
      <c r="B7" s="261" t="s">
        <v>734</v>
      </c>
      <c r="C7" s="262"/>
      <c r="D7" s="996" t="str">
        <f>HYPERLINK("#'"&amp;"Alap"&amp;"'!$M$4",$A$7)</f>
        <v>GoTo</v>
      </c>
      <c r="E7" s="996" t="str">
        <f>HYPERLINK("#'"&amp;"Illeszkedési kiigazítás"&amp;"'!$M$4",$A$7)</f>
        <v>GoTo</v>
      </c>
      <c r="F7" s="996" t="str">
        <f>HYPERLINK("#'"&amp;"VB és TM"&amp;"'!$M$4",$A$7)</f>
        <v>GoTo</v>
      </c>
      <c r="G7" s="18" t="s">
        <v>89</v>
      </c>
    </row>
    <row r="8" spans="1:10" ht="69.95" customHeight="1" x14ac:dyDescent="0.25">
      <c r="B8" s="1202" t="s">
        <v>0</v>
      </c>
      <c r="C8" s="1204" t="s">
        <v>847</v>
      </c>
      <c r="D8" s="1198" t="str">
        <f>P.Index!D17</f>
        <v>0. Alap hozamgörbe forgatókönyv (EIOPA alacsony hozamkörnyezet felmérés alapján)</v>
      </c>
      <c r="E8" s="1198" t="str">
        <f>P.Index!D18</f>
        <v>1. Illeszkedési kiigazítás forgatókönyv</v>
      </c>
      <c r="F8" s="1198" t="str">
        <f>P.Index!D19</f>
        <v>2. Volatilitás kiigazítás és átmeneti intézkedések forgatókönyv</v>
      </c>
      <c r="G8" s="18" t="s">
        <v>89</v>
      </c>
    </row>
    <row r="9" spans="1:10" ht="22.5" customHeight="1" x14ac:dyDescent="0.25">
      <c r="B9" s="1203"/>
      <c r="C9" s="1205"/>
      <c r="D9" s="1199"/>
      <c r="E9" s="1199"/>
      <c r="F9" s="1199"/>
      <c r="G9" s="18" t="s">
        <v>89</v>
      </c>
    </row>
    <row r="10" spans="1:10" x14ac:dyDescent="0.25">
      <c r="B10" s="47" t="s">
        <v>197</v>
      </c>
      <c r="C10" s="989">
        <f>SUM(BS!J32)</f>
        <v>0</v>
      </c>
      <c r="D10" s="989">
        <f>SUM('0. Alap'!$D11,'Shared-2013'!D41)</f>
        <v>0</v>
      </c>
      <c r="E10" s="989">
        <f>SUM('1. Illeszkedési kiigazítás'!$D11,'Shared-2013'!D41)</f>
        <v>0</v>
      </c>
      <c r="F10" s="989">
        <f>SUM('2. VA és TM'!$D11,'Shared-2013'!D41)</f>
        <v>0</v>
      </c>
      <c r="G10" s="18" t="s">
        <v>89</v>
      </c>
    </row>
    <row r="11" spans="1:10" x14ac:dyDescent="0.25">
      <c r="B11" s="48" t="s">
        <v>77</v>
      </c>
      <c r="C11" s="990">
        <f>SUM(BS!J11)</f>
        <v>0</v>
      </c>
      <c r="D11" s="990">
        <f>SUM('0. Alap'!$D10)</f>
        <v>0</v>
      </c>
      <c r="E11" s="990">
        <f>SUM('1. Illeszkedési kiigazítás'!$D10)</f>
        <v>0</v>
      </c>
      <c r="F11" s="990">
        <f>SUM('2. VA és TM'!$D10)</f>
        <v>0</v>
      </c>
      <c r="G11" s="18" t="s">
        <v>89</v>
      </c>
      <c r="H11" s="21"/>
      <c r="I11" s="21"/>
      <c r="J11" s="21"/>
    </row>
    <row r="12" spans="1:10" x14ac:dyDescent="0.25">
      <c r="B12" s="48" t="s">
        <v>198</v>
      </c>
      <c r="C12" s="990">
        <f>SUM(BS!J26)</f>
        <v>0</v>
      </c>
      <c r="D12" s="990">
        <f>SUM('0. Alap'!$D18)</f>
        <v>0</v>
      </c>
      <c r="E12" s="990">
        <f>SUM('1. Illeszkedési kiigazítás'!$D18)</f>
        <v>0</v>
      </c>
      <c r="F12" s="990">
        <f>SUM('2. VA és TM'!$D18)</f>
        <v>0</v>
      </c>
      <c r="G12" s="18" t="s">
        <v>89</v>
      </c>
      <c r="H12" s="21"/>
      <c r="I12" s="21"/>
      <c r="J12" s="21"/>
    </row>
    <row r="13" spans="1:10" x14ac:dyDescent="0.25">
      <c r="B13" s="49" t="s">
        <v>199</v>
      </c>
      <c r="C13" s="991">
        <f>C14-SUM(C10:C12)</f>
        <v>0</v>
      </c>
      <c r="D13" s="991">
        <f>D14-SUM(D10:D12)</f>
        <v>0</v>
      </c>
      <c r="E13" s="991">
        <f>E14-SUM(E10:E12)</f>
        <v>0</v>
      </c>
      <c r="F13" s="991">
        <f>F14-SUM(F10:F12)</f>
        <v>0</v>
      </c>
      <c r="G13" s="18" t="s">
        <v>89</v>
      </c>
    </row>
    <row r="14" spans="1:10" x14ac:dyDescent="0.25">
      <c r="B14" s="50" t="s">
        <v>19</v>
      </c>
      <c r="C14" s="992">
        <f>SUM(BS!J50)</f>
        <v>0</v>
      </c>
      <c r="D14" s="992">
        <f>SUM('0. Alap'!$D21)</f>
        <v>0</v>
      </c>
      <c r="E14" s="992">
        <f>SUM('1. Illeszkedési kiigazítás'!$D21)</f>
        <v>0</v>
      </c>
      <c r="F14" s="992">
        <f>SUM('2. VA és TM'!$D21)</f>
        <v>0</v>
      </c>
      <c r="G14" s="18" t="s">
        <v>89</v>
      </c>
    </row>
    <row r="15" spans="1:10" x14ac:dyDescent="0.25">
      <c r="B15" s="21"/>
      <c r="C15" s="100"/>
      <c r="D15" s="100"/>
      <c r="E15" s="100"/>
      <c r="F15" s="100"/>
      <c r="G15" s="18" t="s">
        <v>89</v>
      </c>
    </row>
    <row r="16" spans="1:10" ht="69.95" customHeight="1" x14ac:dyDescent="0.25">
      <c r="B16" s="1202" t="s">
        <v>20</v>
      </c>
      <c r="C16" s="1200" t="s">
        <v>1</v>
      </c>
      <c r="D16" s="1200" t="str">
        <f>D$8</f>
        <v>0. Alap hozamgörbe forgatókönyv (EIOPA alacsony hozamkörnyezet felmérés alapján)</v>
      </c>
      <c r="E16" s="1200" t="str">
        <f>E$8</f>
        <v>1. Illeszkedési kiigazítás forgatókönyv</v>
      </c>
      <c r="F16" s="1200" t="str">
        <f>F$8</f>
        <v>2. Volatilitás kiigazítás és átmeneti intézkedések forgatókönyv</v>
      </c>
      <c r="G16" s="18" t="s">
        <v>89</v>
      </c>
    </row>
    <row r="17" spans="1:7" x14ac:dyDescent="0.25">
      <c r="B17" s="1203"/>
      <c r="C17" s="1201"/>
      <c r="D17" s="1201"/>
      <c r="E17" s="1201"/>
      <c r="F17" s="1201"/>
      <c r="G17" s="18" t="s">
        <v>89</v>
      </c>
    </row>
    <row r="18" spans="1:7" x14ac:dyDescent="0.25">
      <c r="B18" s="52" t="s">
        <v>498</v>
      </c>
      <c r="C18" s="990">
        <f>SUM(BS!L32)</f>
        <v>0</v>
      </c>
      <c r="D18" s="989">
        <f>SUM('0. Alap'!$H11:$I11)</f>
        <v>0</v>
      </c>
      <c r="E18" s="989">
        <f>SUM('1. Illeszkedési kiigazítás'!$H11:$I11)</f>
        <v>0</v>
      </c>
      <c r="F18" s="989">
        <f>SUM('2. VA és TM'!$H11:$I11)</f>
        <v>0</v>
      </c>
      <c r="G18" s="18" t="s">
        <v>89</v>
      </c>
    </row>
    <row r="19" spans="1:7" x14ac:dyDescent="0.25">
      <c r="B19" s="80" t="s">
        <v>478</v>
      </c>
      <c r="C19" s="444">
        <f>SUM(BS!L40)</f>
        <v>0</v>
      </c>
      <c r="D19" s="990">
        <f>SUM('0. Alap'!$H17:$I17)</f>
        <v>0</v>
      </c>
      <c r="E19" s="990">
        <f>SUM('1. Illeszkedési kiigazítás'!$H17:$I17)</f>
        <v>0</v>
      </c>
      <c r="F19" s="990">
        <f>SUM('2. VA és TM'!$H17:$I17)</f>
        <v>0</v>
      </c>
      <c r="G19" s="18" t="s">
        <v>89</v>
      </c>
    </row>
    <row r="20" spans="1:7" x14ac:dyDescent="0.25">
      <c r="B20" s="51" t="s">
        <v>87</v>
      </c>
      <c r="C20" s="101"/>
      <c r="D20" s="990">
        <f>SUM('0. Alap'!$G11)</f>
        <v>0</v>
      </c>
      <c r="E20" s="990">
        <f>SUM('1. Illeszkedési kiigazítás'!$G11)</f>
        <v>0</v>
      </c>
      <c r="F20" s="990">
        <f>SUM('2. VA és TM'!$G11)</f>
        <v>0</v>
      </c>
      <c r="G20" s="18" t="s">
        <v>89</v>
      </c>
    </row>
    <row r="21" spans="1:7" x14ac:dyDescent="0.25">
      <c r="B21" s="49" t="s">
        <v>200</v>
      </c>
      <c r="C21" s="456">
        <f>SUM(C22)-SUM(C18,C20)</f>
        <v>0</v>
      </c>
      <c r="D21" s="991">
        <f>SUM('0. Alap'!$F19:$F20)</f>
        <v>0</v>
      </c>
      <c r="E21" s="991">
        <f>SUM('1. Illeszkedési kiigazítás'!$F19:$F20)</f>
        <v>0</v>
      </c>
      <c r="F21" s="991">
        <f>SUM('2. VA és TM'!$F19:$F20)</f>
        <v>0</v>
      </c>
      <c r="G21" s="18" t="s">
        <v>89</v>
      </c>
    </row>
    <row r="22" spans="1:7" x14ac:dyDescent="0.25">
      <c r="B22" s="50" t="s">
        <v>35</v>
      </c>
      <c r="C22" s="448">
        <f>SUM(BS!L50)</f>
        <v>0</v>
      </c>
      <c r="D22" s="992">
        <f>SUM(D18,D20,D21)</f>
        <v>0</v>
      </c>
      <c r="E22" s="992">
        <f>SUM(E18,E20,E21)</f>
        <v>0</v>
      </c>
      <c r="F22" s="992">
        <f>SUM(F18,F20,F21)</f>
        <v>0</v>
      </c>
      <c r="G22" s="18" t="s">
        <v>89</v>
      </c>
    </row>
    <row r="23" spans="1:7" x14ac:dyDescent="0.25">
      <c r="B23" s="21"/>
      <c r="C23" s="100"/>
      <c r="D23" s="100"/>
      <c r="E23" s="100"/>
      <c r="F23" s="100"/>
      <c r="G23" s="18" t="s">
        <v>89</v>
      </c>
    </row>
    <row r="24" spans="1:7" x14ac:dyDescent="0.25">
      <c r="B24" s="50" t="s">
        <v>449</v>
      </c>
      <c r="C24" s="929" t="s">
        <v>521</v>
      </c>
      <c r="D24" s="448">
        <f>SUM('0. Alap'!$F21)</f>
        <v>0</v>
      </c>
      <c r="E24" s="448">
        <f>SUM('1. Illeszkedési kiigazítás'!$F21)</f>
        <v>0</v>
      </c>
      <c r="F24" s="448">
        <f>SUM('2. VA és TM'!$F21)</f>
        <v>0</v>
      </c>
      <c r="G24" s="18" t="s">
        <v>89</v>
      </c>
    </row>
    <row r="25" spans="1:7" x14ac:dyDescent="0.25">
      <c r="A25" s="21"/>
      <c r="B25" s="21"/>
      <c r="C25" s="100"/>
      <c r="D25" s="100"/>
      <c r="E25" s="100"/>
      <c r="F25" s="100"/>
      <c r="G25" s="18" t="s">
        <v>89</v>
      </c>
    </row>
    <row r="26" spans="1:7" ht="69.95" customHeight="1" x14ac:dyDescent="0.25">
      <c r="A26" s="21"/>
      <c r="B26" s="1202" t="s">
        <v>194</v>
      </c>
      <c r="C26" s="1200" t="s">
        <v>1</v>
      </c>
      <c r="D26" s="1200" t="str">
        <f>D$8</f>
        <v>0. Alap hozamgörbe forgatókönyv (EIOPA alacsony hozamkörnyezet felmérés alapján)</v>
      </c>
      <c r="E26" s="1200" t="str">
        <f>E$8</f>
        <v>1. Illeszkedési kiigazítás forgatókönyv</v>
      </c>
      <c r="F26" s="1200" t="str">
        <f>F$8</f>
        <v>2. Volatilitás kiigazítás és átmeneti intézkedések forgatókönyv</v>
      </c>
      <c r="G26" s="18" t="s">
        <v>89</v>
      </c>
    </row>
    <row r="27" spans="1:7" x14ac:dyDescent="0.25">
      <c r="A27" s="21"/>
      <c r="B27" s="1203"/>
      <c r="C27" s="1201"/>
      <c r="D27" s="1201"/>
      <c r="E27" s="1201"/>
      <c r="F27" s="1201"/>
      <c r="G27" s="18" t="s">
        <v>89</v>
      </c>
    </row>
    <row r="28" spans="1:7" x14ac:dyDescent="0.25">
      <c r="A28" s="21"/>
      <c r="B28" s="90" t="s">
        <v>484</v>
      </c>
      <c r="C28" s="554"/>
      <c r="D28" s="989">
        <f>SUM(D29:D32)</f>
        <v>0</v>
      </c>
      <c r="E28" s="989">
        <f>SUM(E29:E32)</f>
        <v>0</v>
      </c>
      <c r="F28" s="989">
        <f>SUM(F29:F32)</f>
        <v>0</v>
      </c>
      <c r="G28" s="18" t="s">
        <v>89</v>
      </c>
    </row>
    <row r="29" spans="1:7" x14ac:dyDescent="0.25">
      <c r="A29" s="21"/>
      <c r="B29" s="80" t="s">
        <v>731</v>
      </c>
      <c r="C29" s="101"/>
      <c r="D29" s="990">
        <f>SUM('0. Alap'!$F73:$F73)</f>
        <v>0</v>
      </c>
      <c r="E29" s="990">
        <f>SUM('1. Illeszkedési kiigazítás'!$F73:$F73)</f>
        <v>0</v>
      </c>
      <c r="F29" s="990">
        <f>SUM('2. VA és TM'!$F73:$F73)</f>
        <v>0</v>
      </c>
      <c r="G29" s="18" t="s">
        <v>89</v>
      </c>
    </row>
    <row r="30" spans="1:7" x14ac:dyDescent="0.25">
      <c r="A30" s="21"/>
      <c r="B30" s="80" t="s">
        <v>732</v>
      </c>
      <c r="C30" s="101"/>
      <c r="D30" s="990">
        <f>SUM('0. Alap'!$G73:$G73)</f>
        <v>0</v>
      </c>
      <c r="E30" s="990">
        <f>SUM('1. Illeszkedési kiigazítás'!$G73:$G73)</f>
        <v>0</v>
      </c>
      <c r="F30" s="990">
        <f>SUM('2. VA és TM'!$G73:$G73)</f>
        <v>0</v>
      </c>
      <c r="G30" s="18" t="s">
        <v>89</v>
      </c>
    </row>
    <row r="31" spans="1:7" x14ac:dyDescent="0.25">
      <c r="A31" s="21"/>
      <c r="B31" s="80" t="s">
        <v>481</v>
      </c>
      <c r="C31" s="101"/>
      <c r="D31" s="990">
        <f>SUM('0. Alap'!$H73:$H73)</f>
        <v>0</v>
      </c>
      <c r="E31" s="990">
        <f>SUM('1. Illeszkedési kiigazítás'!$H73:$H73)</f>
        <v>0</v>
      </c>
      <c r="F31" s="990">
        <f>SUM('2. VA és TM'!$H73:$H73)</f>
        <v>0</v>
      </c>
      <c r="G31" s="18" t="s">
        <v>89</v>
      </c>
    </row>
    <row r="32" spans="1:7" x14ac:dyDescent="0.25">
      <c r="A32" s="21"/>
      <c r="B32" s="80" t="s">
        <v>482</v>
      </c>
      <c r="C32" s="101"/>
      <c r="D32" s="990">
        <f>SUM('0. Alap'!$I73)</f>
        <v>0</v>
      </c>
      <c r="E32" s="990">
        <f>SUM('1. Illeszkedési kiigazítás'!I73)</f>
        <v>0</v>
      </c>
      <c r="F32" s="990">
        <f>SUM('2. VA és TM'!I73)</f>
        <v>0</v>
      </c>
      <c r="G32" s="18" t="s">
        <v>89</v>
      </c>
    </row>
    <row r="33" spans="1:7" x14ac:dyDescent="0.25">
      <c r="A33" s="21"/>
      <c r="B33" s="91" t="s">
        <v>138</v>
      </c>
      <c r="C33" s="102"/>
      <c r="D33" s="989">
        <f>SUM(D34:D35)</f>
        <v>0</v>
      </c>
      <c r="E33" s="989">
        <f>SUM(E34:E35)</f>
        <v>0</v>
      </c>
      <c r="F33" s="989">
        <f>SUM(F34:F35)</f>
        <v>0</v>
      </c>
      <c r="G33" s="18" t="s">
        <v>89</v>
      </c>
    </row>
    <row r="34" spans="1:7" x14ac:dyDescent="0.25">
      <c r="A34" s="21"/>
      <c r="B34" s="80" t="s">
        <v>481</v>
      </c>
      <c r="C34" s="101"/>
      <c r="D34" s="990">
        <f>SUM('0. Alap'!$J68)</f>
        <v>0</v>
      </c>
      <c r="E34" s="990">
        <f>SUM('1. Illeszkedési kiigazítás'!$J68)</f>
        <v>0</v>
      </c>
      <c r="F34" s="990">
        <f>SUM('2. VA és TM'!$J68)</f>
        <v>0</v>
      </c>
      <c r="G34" s="18" t="s">
        <v>89</v>
      </c>
    </row>
    <row r="35" spans="1:7" x14ac:dyDescent="0.25">
      <c r="A35" s="21"/>
      <c r="B35" s="81" t="s">
        <v>482</v>
      </c>
      <c r="C35" s="103"/>
      <c r="D35" s="990">
        <f>SUM('0. Alap'!$K68)</f>
        <v>0</v>
      </c>
      <c r="E35" s="990">
        <f>SUM('1. Illeszkedési kiigazítás'!$K68)</f>
        <v>0</v>
      </c>
      <c r="F35" s="990">
        <f>SUM('2. VA és TM'!$K68)</f>
        <v>0</v>
      </c>
      <c r="G35" s="18" t="s">
        <v>89</v>
      </c>
    </row>
    <row r="36" spans="1:7" ht="15" customHeight="1" x14ac:dyDescent="0.25">
      <c r="A36" s="21"/>
      <c r="B36" s="83" t="s">
        <v>483</v>
      </c>
      <c r="C36" s="990">
        <f>SUM(SI!E8)</f>
        <v>0</v>
      </c>
      <c r="D36" s="989">
        <f>SUM(D37:D40)</f>
        <v>0</v>
      </c>
      <c r="E36" s="989">
        <f>SUM(E37:E40)</f>
        <v>0</v>
      </c>
      <c r="F36" s="989">
        <f>SUM(F37:F40)</f>
        <v>0</v>
      </c>
      <c r="G36" s="18" t="s">
        <v>89</v>
      </c>
    </row>
    <row r="37" spans="1:7" x14ac:dyDescent="0.25">
      <c r="A37" s="21"/>
      <c r="B37" s="80" t="s">
        <v>731</v>
      </c>
      <c r="C37" s="101"/>
      <c r="D37" s="990">
        <f>SUM('0. Alap'!$F29)</f>
        <v>0</v>
      </c>
      <c r="E37" s="990">
        <f>SUM('1. Illeszkedési kiigazítás'!$F29)</f>
        <v>0</v>
      </c>
      <c r="F37" s="990">
        <f>SUM('2. VA és TM'!$F29)</f>
        <v>0</v>
      </c>
      <c r="G37" s="18" t="s">
        <v>89</v>
      </c>
    </row>
    <row r="38" spans="1:7" x14ac:dyDescent="0.25">
      <c r="A38" s="21"/>
      <c r="B38" s="80" t="s">
        <v>732</v>
      </c>
      <c r="C38" s="101"/>
      <c r="D38" s="990">
        <f>SUM('0. Alap'!$F30)</f>
        <v>0</v>
      </c>
      <c r="E38" s="990">
        <f>SUM('1. Illeszkedési kiigazítás'!$F30)</f>
        <v>0</v>
      </c>
      <c r="F38" s="990">
        <f>SUM('2. VA és TM'!$F30)</f>
        <v>0</v>
      </c>
      <c r="G38" s="18" t="s">
        <v>89</v>
      </c>
    </row>
    <row r="39" spans="1:7" x14ac:dyDescent="0.25">
      <c r="A39" s="21"/>
      <c r="B39" s="80" t="s">
        <v>481</v>
      </c>
      <c r="C39" s="101"/>
      <c r="D39" s="990">
        <f>SUM('0. Alap'!$F32)</f>
        <v>0</v>
      </c>
      <c r="E39" s="990">
        <f>SUM('1. Illeszkedési kiigazítás'!$F32)</f>
        <v>0</v>
      </c>
      <c r="F39" s="990">
        <f>SUM('2. VA és TM'!$F32)</f>
        <v>0</v>
      </c>
      <c r="G39" s="18" t="s">
        <v>89</v>
      </c>
    </row>
    <row r="40" spans="1:7" x14ac:dyDescent="0.25">
      <c r="A40" s="21"/>
      <c r="B40" s="80" t="s">
        <v>482</v>
      </c>
      <c r="C40" s="101"/>
      <c r="D40" s="990">
        <f>SUM('0. Alap'!$F33)</f>
        <v>0</v>
      </c>
      <c r="E40" s="990">
        <f>SUM('1. Illeszkedési kiigazítás'!$F33)</f>
        <v>0</v>
      </c>
      <c r="F40" s="990">
        <f>SUM('2. VA és TM'!$F33)</f>
        <v>0</v>
      </c>
      <c r="G40" s="18" t="s">
        <v>89</v>
      </c>
    </row>
    <row r="41" spans="1:7" x14ac:dyDescent="0.25">
      <c r="A41" s="21"/>
      <c r="B41" s="82" t="s">
        <v>139</v>
      </c>
      <c r="C41" s="104"/>
      <c r="D41" s="989">
        <f>SUM(D42:D44)</f>
        <v>0</v>
      </c>
      <c r="E41" s="989">
        <f>SUM(E42:E44)</f>
        <v>0</v>
      </c>
      <c r="F41" s="989">
        <f>SUM(F42:F44)</f>
        <v>0</v>
      </c>
      <c r="G41" s="18" t="s">
        <v>89</v>
      </c>
    </row>
    <row r="42" spans="1:7" x14ac:dyDescent="0.25">
      <c r="A42" s="21"/>
      <c r="B42" s="80" t="s">
        <v>731</v>
      </c>
      <c r="C42" s="101"/>
      <c r="D42" s="990">
        <f>SUM('0. Alap'!$F29)</f>
        <v>0</v>
      </c>
      <c r="E42" s="990">
        <f>SUM('1. Illeszkedési kiigazítás'!$F29)</f>
        <v>0</v>
      </c>
      <c r="F42" s="990">
        <f>SUM('2. VA és TM'!$F29)</f>
        <v>0</v>
      </c>
      <c r="G42" s="18" t="s">
        <v>89</v>
      </c>
    </row>
    <row r="43" spans="1:7" x14ac:dyDescent="0.25">
      <c r="A43" s="21"/>
      <c r="B43" s="80" t="s">
        <v>732</v>
      </c>
      <c r="C43" s="101"/>
      <c r="D43" s="990">
        <f>SUM('0. Alap'!$F30)</f>
        <v>0</v>
      </c>
      <c r="E43" s="990">
        <f>SUM('1. Illeszkedési kiigazítás'!$F30)</f>
        <v>0</v>
      </c>
      <c r="F43" s="990">
        <f>SUM('2. VA és TM'!$F30)</f>
        <v>0</v>
      </c>
      <c r="G43" s="18" t="s">
        <v>89</v>
      </c>
    </row>
    <row r="44" spans="1:7" x14ac:dyDescent="0.25">
      <c r="A44" s="21"/>
      <c r="B44" s="81" t="s">
        <v>481</v>
      </c>
      <c r="C44" s="103"/>
      <c r="D44" s="991">
        <f>SUM('0. Alap'!$F31)</f>
        <v>0</v>
      </c>
      <c r="E44" s="991">
        <f>SUM('1. Illeszkedési kiigazítás'!$F31)</f>
        <v>0</v>
      </c>
      <c r="F44" s="991">
        <f>SUM('2. VA és TM'!$F31)</f>
        <v>0</v>
      </c>
      <c r="G44" s="18" t="s">
        <v>89</v>
      </c>
    </row>
    <row r="45" spans="1:7" x14ac:dyDescent="0.25">
      <c r="A45" s="21"/>
      <c r="B45" s="21"/>
      <c r="C45" s="100"/>
      <c r="D45" s="100"/>
      <c r="E45" s="100"/>
      <c r="F45" s="100"/>
      <c r="G45" s="18" t="s">
        <v>89</v>
      </c>
    </row>
    <row r="46" spans="1:7" x14ac:dyDescent="0.25">
      <c r="B46" s="1202" t="s">
        <v>56</v>
      </c>
      <c r="C46" s="1200" t="s">
        <v>1</v>
      </c>
      <c r="D46" s="1200" t="str">
        <f>D$8</f>
        <v>0. Alap hozamgörbe forgatókönyv (EIOPA alacsony hozamkörnyezet felmérés alapján)</v>
      </c>
      <c r="E46" s="1200" t="str">
        <f>E$8</f>
        <v>1. Illeszkedési kiigazítás forgatókönyv</v>
      </c>
      <c r="F46" s="1200" t="str">
        <f>F$8</f>
        <v>2. Volatilitás kiigazítás és átmeneti intézkedések forgatókönyv</v>
      </c>
      <c r="G46" s="18" t="s">
        <v>89</v>
      </c>
    </row>
    <row r="47" spans="1:7" ht="69.95" customHeight="1" x14ac:dyDescent="0.25">
      <c r="B47" s="1203"/>
      <c r="C47" s="1201"/>
      <c r="D47" s="1201"/>
      <c r="E47" s="1201">
        <f>E$9</f>
        <v>0</v>
      </c>
      <c r="F47" s="1201">
        <f>F$9</f>
        <v>0</v>
      </c>
      <c r="G47" s="18" t="s">
        <v>89</v>
      </c>
    </row>
    <row r="48" spans="1:7" x14ac:dyDescent="0.25">
      <c r="B48" s="53" t="s">
        <v>196</v>
      </c>
      <c r="C48" s="105"/>
      <c r="D48" s="989">
        <f>SUM('0. Alap'!$H77)</f>
        <v>0</v>
      </c>
      <c r="E48" s="989">
        <f>SUM('1. Illeszkedési kiigazítás'!$H77)</f>
        <v>0</v>
      </c>
      <c r="F48" s="989">
        <f>SUM('2. VA és TM'!$H77)</f>
        <v>0</v>
      </c>
      <c r="G48" s="18" t="s">
        <v>89</v>
      </c>
    </row>
    <row r="49" spans="1:15" x14ac:dyDescent="0.25">
      <c r="B49" s="48" t="s">
        <v>144</v>
      </c>
      <c r="C49" s="106"/>
      <c r="D49" s="990">
        <f>SUM('0. Alap'!$D78)</f>
        <v>0</v>
      </c>
      <c r="E49" s="990">
        <f>SUM('1. Illeszkedési kiigazítás'!$D78)</f>
        <v>0</v>
      </c>
      <c r="F49" s="990">
        <f>SUM('2. VA és TM'!$D78)</f>
        <v>0</v>
      </c>
      <c r="G49" s="18" t="s">
        <v>89</v>
      </c>
    </row>
    <row r="50" spans="1:15" x14ac:dyDescent="0.25">
      <c r="B50" s="48" t="s">
        <v>83</v>
      </c>
      <c r="C50" s="106"/>
      <c r="D50" s="990">
        <f>SUM('0. Alap'!$J84)</f>
        <v>0</v>
      </c>
      <c r="E50" s="990">
        <f>SUM('1. Illeszkedési kiigazítás'!$J84)</f>
        <v>0</v>
      </c>
      <c r="F50" s="990">
        <f>SUM('2. VA és TM'!$J84)</f>
        <v>0</v>
      </c>
      <c r="G50" s="18" t="s">
        <v>89</v>
      </c>
    </row>
    <row r="51" spans="1:15" x14ac:dyDescent="0.25">
      <c r="B51" s="49" t="s">
        <v>200</v>
      </c>
      <c r="C51" s="107"/>
      <c r="D51" s="990">
        <f>SUM('0. Alap'!$J28)-SUM(D48:D50)</f>
        <v>0</v>
      </c>
      <c r="E51" s="990">
        <f>SUM('1. Illeszkedési kiigazítás'!$J28)-SUM(E48:E50)</f>
        <v>0</v>
      </c>
      <c r="F51" s="990">
        <f>SUM('2. VA és TM'!$J28)-SUM(F48:F50)</f>
        <v>0</v>
      </c>
      <c r="G51" s="18" t="s">
        <v>89</v>
      </c>
    </row>
    <row r="52" spans="1:15" x14ac:dyDescent="0.25">
      <c r="B52" s="50" t="s">
        <v>480</v>
      </c>
      <c r="C52" s="991">
        <f>SUM(SI!E5)</f>
        <v>0</v>
      </c>
      <c r="D52" s="992">
        <f>SUM('0. Alap'!$J28)</f>
        <v>0</v>
      </c>
      <c r="E52" s="992">
        <f>SUM('1. Illeszkedési kiigazítás'!$J28)</f>
        <v>0</v>
      </c>
      <c r="F52" s="992">
        <f>SUM('2. VA és TM'!$J28)</f>
        <v>0</v>
      </c>
      <c r="G52" s="18" t="s">
        <v>89</v>
      </c>
    </row>
    <row r="53" spans="1:15" x14ac:dyDescent="0.25">
      <c r="B53" s="49" t="s">
        <v>479</v>
      </c>
      <c r="C53" s="992">
        <f>C36-C52</f>
        <v>0</v>
      </c>
      <c r="D53" s="992">
        <f>D36-D52</f>
        <v>0</v>
      </c>
      <c r="E53" s="992">
        <f>E36-E52</f>
        <v>0</v>
      </c>
      <c r="F53" s="992">
        <f>F36-F52</f>
        <v>0</v>
      </c>
      <c r="G53" s="18" t="s">
        <v>89</v>
      </c>
    </row>
    <row r="54" spans="1:15" x14ac:dyDescent="0.25">
      <c r="B54" s="84" t="s">
        <v>201</v>
      </c>
      <c r="C54" s="992" t="str">
        <f>IF(SUM(C52),1+SUM(C53)/SUM(C52),"-")</f>
        <v>-</v>
      </c>
      <c r="D54" s="993" t="str">
        <f>IF(SUM(D52),1+SUM(D53)/SUM(D52),"-")</f>
        <v>-</v>
      </c>
      <c r="E54" s="993" t="str">
        <f>IF(SUM(E52),1+SUM(E53)/SUM(E52),"-")</f>
        <v>-</v>
      </c>
      <c r="F54" s="993" t="str">
        <f>IF(SUM(F52),1+SUM(F53)/SUM(F52),"-")</f>
        <v>-</v>
      </c>
      <c r="G54" s="18" t="s">
        <v>89</v>
      </c>
    </row>
    <row r="55" spans="1:15" x14ac:dyDescent="0.25">
      <c r="C55" s="96"/>
      <c r="D55" s="994"/>
      <c r="E55" s="96"/>
      <c r="F55" s="96"/>
      <c r="G55" s="18" t="s">
        <v>89</v>
      </c>
    </row>
    <row r="56" spans="1:15" x14ac:dyDescent="0.25">
      <c r="B56" s="50" t="s">
        <v>84</v>
      </c>
      <c r="C56" s="108"/>
      <c r="D56" s="992">
        <f>SUM('0. Alap'!$I28)</f>
        <v>0</v>
      </c>
      <c r="E56" s="992">
        <f>SUM('1. Illeszkedési kiigazítás'!$I28)</f>
        <v>0</v>
      </c>
      <c r="F56" s="992">
        <f>SUM('2. VA és TM'!$I28)</f>
        <v>0</v>
      </c>
      <c r="G56" s="18" t="s">
        <v>89</v>
      </c>
    </row>
    <row r="57" spans="1:15" x14ac:dyDescent="0.25">
      <c r="B57" s="49" t="s">
        <v>479</v>
      </c>
      <c r="C57" s="107"/>
      <c r="D57" s="992">
        <f>SUM(D41)-SUM(D56)</f>
        <v>0</v>
      </c>
      <c r="E57" s="992">
        <f>SUM(E41)-SUM(E56)</f>
        <v>0</v>
      </c>
      <c r="F57" s="992">
        <f>SUM(F41)-SUM(F56)</f>
        <v>0</v>
      </c>
      <c r="G57" s="18" t="s">
        <v>89</v>
      </c>
      <c r="N57" s="54"/>
      <c r="O57" s="54"/>
    </row>
    <row r="58" spans="1:15" x14ac:dyDescent="0.25">
      <c r="C58" s="96"/>
      <c r="D58" s="96"/>
      <c r="E58" s="96"/>
      <c r="F58" s="96"/>
      <c r="G58" s="18" t="s">
        <v>89</v>
      </c>
    </row>
    <row r="59" spans="1:15" x14ac:dyDescent="0.25">
      <c r="A59" s="46">
        <v>1</v>
      </c>
      <c r="B59" s="46" t="s">
        <v>493</v>
      </c>
      <c r="C59" s="109"/>
      <c r="D59" s="110"/>
      <c r="E59" s="110"/>
      <c r="F59" s="110"/>
      <c r="G59" s="18" t="s">
        <v>89</v>
      </c>
    </row>
    <row r="60" spans="1:15" ht="15" customHeight="1" x14ac:dyDescent="0.25">
      <c r="B60" s="1202" t="s">
        <v>130</v>
      </c>
      <c r="C60" s="1200" t="s">
        <v>1</v>
      </c>
      <c r="D60" s="1200" t="str">
        <f>D$8</f>
        <v>0. Alap hozamgörbe forgatókönyv (EIOPA alacsony hozamkörnyezet felmérés alapján)</v>
      </c>
      <c r="E60" s="1200" t="str">
        <f>E$8</f>
        <v>1. Illeszkedési kiigazítás forgatókönyv</v>
      </c>
      <c r="F60" s="1200" t="str">
        <f>F$8</f>
        <v>2. Volatilitás kiigazítás és átmeneti intézkedések forgatókönyv</v>
      </c>
      <c r="G60" s="18" t="s">
        <v>89</v>
      </c>
    </row>
    <row r="61" spans="1:15" ht="69.95" customHeight="1" x14ac:dyDescent="0.25">
      <c r="B61" s="1203"/>
      <c r="C61" s="1201"/>
      <c r="D61" s="1201">
        <f>D$9</f>
        <v>0</v>
      </c>
      <c r="E61" s="1201">
        <f>E$9</f>
        <v>0</v>
      </c>
      <c r="F61" s="1201">
        <f>F$9</f>
        <v>0</v>
      </c>
      <c r="G61" s="18" t="s">
        <v>89</v>
      </c>
    </row>
    <row r="62" spans="1:15" x14ac:dyDescent="0.25">
      <c r="B62" s="85" t="s">
        <v>487</v>
      </c>
      <c r="C62" s="554"/>
      <c r="D62" s="989">
        <f>SUM('0. Alap'!$H12)</f>
        <v>0</v>
      </c>
      <c r="E62" s="989">
        <f>SUM('1. Illeszkedési kiigazítás'!$H12)</f>
        <v>0</v>
      </c>
      <c r="F62" s="989">
        <f>SUM('2. VA és TM'!$H12)</f>
        <v>0</v>
      </c>
      <c r="G62" s="18" t="s">
        <v>89</v>
      </c>
    </row>
    <row r="63" spans="1:15" ht="14.25" customHeight="1" x14ac:dyDescent="0.25">
      <c r="B63" s="85" t="s">
        <v>488</v>
      </c>
      <c r="C63" s="555"/>
      <c r="D63" s="990">
        <f>SUM('0. Alap'!$H13)</f>
        <v>0</v>
      </c>
      <c r="E63" s="990">
        <f>SUM('1. Illeszkedési kiigazítás'!$H13)</f>
        <v>0</v>
      </c>
      <c r="F63" s="990">
        <f>SUM('2. VA és TM'!$H13)</f>
        <v>0</v>
      </c>
      <c r="G63" s="18" t="s">
        <v>89</v>
      </c>
    </row>
    <row r="64" spans="1:15" x14ac:dyDescent="0.25">
      <c r="B64" s="85" t="s">
        <v>489</v>
      </c>
      <c r="C64" s="555"/>
      <c r="D64" s="990">
        <f>SUM('0. Alap'!$H14)</f>
        <v>0</v>
      </c>
      <c r="E64" s="990">
        <f>SUM('1. Illeszkedési kiigazítás'!$H14)</f>
        <v>0</v>
      </c>
      <c r="F64" s="990">
        <f>SUM('2. VA és TM'!$H14)</f>
        <v>0</v>
      </c>
      <c r="G64" s="18" t="s">
        <v>89</v>
      </c>
    </row>
    <row r="65" spans="1:15" x14ac:dyDescent="0.25">
      <c r="B65" s="85" t="s">
        <v>490</v>
      </c>
      <c r="C65" s="555"/>
      <c r="D65" s="990">
        <f>SUM('0. Alap'!$H15)</f>
        <v>0</v>
      </c>
      <c r="E65" s="990">
        <f>SUM('1. Illeszkedési kiigazítás'!$H15)</f>
        <v>0</v>
      </c>
      <c r="F65" s="990">
        <f>SUM('2. VA és TM'!$H15)</f>
        <v>0</v>
      </c>
      <c r="G65" s="18" t="s">
        <v>89</v>
      </c>
    </row>
    <row r="66" spans="1:15" x14ac:dyDescent="0.25">
      <c r="B66" s="85" t="s">
        <v>491</v>
      </c>
      <c r="C66" s="555"/>
      <c r="D66" s="990">
        <f>SUM('0. Alap'!$H16)</f>
        <v>0</v>
      </c>
      <c r="E66" s="990">
        <f>SUM('1. Illeszkedési kiigazítás'!$H16)</f>
        <v>0</v>
      </c>
      <c r="F66" s="990">
        <f>SUM('2. VA és TM'!$H16)</f>
        <v>0</v>
      </c>
      <c r="G66" s="18" t="s">
        <v>89</v>
      </c>
    </row>
    <row r="67" spans="1:15" x14ac:dyDescent="0.25">
      <c r="B67" s="86" t="s">
        <v>492</v>
      </c>
      <c r="C67" s="556"/>
      <c r="D67" s="991">
        <f>SUM('0. Alap'!$H17)</f>
        <v>0</v>
      </c>
      <c r="E67" s="991">
        <f>SUM('1. Illeszkedési kiigazítás'!$H17)</f>
        <v>0</v>
      </c>
      <c r="F67" s="991">
        <f>SUM('2. VA és TM'!$H17)</f>
        <v>0</v>
      </c>
      <c r="G67" s="18" t="s">
        <v>89</v>
      </c>
    </row>
    <row r="68" spans="1:15" x14ac:dyDescent="0.25">
      <c r="D68" s="402"/>
      <c r="E68" s="402"/>
      <c r="F68" s="402"/>
      <c r="G68" s="18" t="s">
        <v>89</v>
      </c>
    </row>
    <row r="69" spans="1:15" x14ac:dyDescent="0.25">
      <c r="A69" s="18" t="s">
        <v>89</v>
      </c>
      <c r="B69" s="18" t="s">
        <v>89</v>
      </c>
      <c r="C69" s="18" t="s">
        <v>89</v>
      </c>
      <c r="D69" s="18" t="s">
        <v>89</v>
      </c>
      <c r="E69" s="18" t="s">
        <v>89</v>
      </c>
      <c r="F69" s="18" t="s">
        <v>89</v>
      </c>
      <c r="G69" s="18" t="s">
        <v>89</v>
      </c>
    </row>
    <row r="70" spans="1:15" x14ac:dyDescent="0.25">
      <c r="B70" s="13" t="s">
        <v>432</v>
      </c>
      <c r="C70" s="13"/>
      <c r="D70" s="13"/>
      <c r="E70" s="13"/>
      <c r="F70" s="14"/>
    </row>
    <row r="71" spans="1:15" x14ac:dyDescent="0.25">
      <c r="B71" s="15" t="s">
        <v>499</v>
      </c>
      <c r="C71" s="15"/>
      <c r="D71" s="15"/>
      <c r="E71" s="15"/>
      <c r="F71" s="16"/>
      <c r="N71" s="54"/>
      <c r="O71" s="54"/>
    </row>
    <row r="72" spans="1:15" x14ac:dyDescent="0.25">
      <c r="N72" s="54"/>
      <c r="O72" s="54"/>
    </row>
    <row r="73" spans="1:15" x14ac:dyDescent="0.25">
      <c r="N73" s="54"/>
      <c r="O73" s="54"/>
    </row>
    <row r="74" spans="1:15" x14ac:dyDescent="0.25">
      <c r="N74" s="54"/>
      <c r="O74" s="54"/>
    </row>
    <row r="75" spans="1:15" x14ac:dyDescent="0.25">
      <c r="N75" s="54"/>
      <c r="O75" s="54"/>
    </row>
    <row r="76" spans="1:15" x14ac:dyDescent="0.25">
      <c r="N76" s="54"/>
      <c r="O76" s="54"/>
    </row>
    <row r="101" spans="2:6" x14ac:dyDescent="0.25">
      <c r="B101" s="21"/>
      <c r="C101" s="21"/>
      <c r="D101" s="21"/>
      <c r="E101" s="21"/>
      <c r="F101" s="21"/>
    </row>
    <row r="102" spans="2:6" x14ac:dyDescent="0.25">
      <c r="B102" s="21"/>
      <c r="C102" s="21"/>
      <c r="D102" s="21"/>
      <c r="E102" s="21"/>
      <c r="F102" s="21"/>
    </row>
    <row r="103" spans="2:6" x14ac:dyDescent="0.25">
      <c r="B103" s="21"/>
      <c r="C103" s="21"/>
      <c r="D103" s="21"/>
      <c r="E103" s="21"/>
      <c r="F103" s="21"/>
    </row>
  </sheetData>
  <mergeCells count="25">
    <mergeCell ref="D60:D61"/>
    <mergeCell ref="E60:E61"/>
    <mergeCell ref="F60:F61"/>
    <mergeCell ref="F26:F27"/>
    <mergeCell ref="D46:D47"/>
    <mergeCell ref="E46:E47"/>
    <mergeCell ref="F46:F47"/>
    <mergeCell ref="E26:E27"/>
    <mergeCell ref="D26:D27"/>
    <mergeCell ref="B60:B61"/>
    <mergeCell ref="C60:C61"/>
    <mergeCell ref="C8:C9"/>
    <mergeCell ref="C16:C17"/>
    <mergeCell ref="C26:C27"/>
    <mergeCell ref="C46:C47"/>
    <mergeCell ref="B8:B9"/>
    <mergeCell ref="B16:B17"/>
    <mergeCell ref="B26:B27"/>
    <mergeCell ref="B46:B47"/>
    <mergeCell ref="F8:F9"/>
    <mergeCell ref="E16:E17"/>
    <mergeCell ref="F16:F17"/>
    <mergeCell ref="D8:D9"/>
    <mergeCell ref="D16:D17"/>
    <mergeCell ref="E8:E9"/>
  </mergeCells>
  <conditionalFormatting sqref="D62:D67">
    <cfRule type="expression" dxfId="20" priority="63" stopIfTrue="1">
      <formula>D$6&lt;&gt;"Filled"</formula>
    </cfRule>
  </conditionalFormatting>
  <conditionalFormatting sqref="D48:D54">
    <cfRule type="expression" dxfId="19" priority="59" stopIfTrue="1">
      <formula>D$6&lt;&gt;"Filled"</formula>
    </cfRule>
  </conditionalFormatting>
  <conditionalFormatting sqref="D24">
    <cfRule type="expression" dxfId="18" priority="39" stopIfTrue="1">
      <formula>D$6&lt;&gt;"Filled"</formula>
    </cfRule>
  </conditionalFormatting>
  <conditionalFormatting sqref="D56:D57">
    <cfRule type="expression" dxfId="17" priority="64" stopIfTrue="1">
      <formula>D$6&lt;&gt;"Filled"</formula>
    </cfRule>
  </conditionalFormatting>
  <conditionalFormatting sqref="D10:D14">
    <cfRule type="expression" dxfId="16" priority="77" stopIfTrue="1">
      <formula>D$6&lt;&gt;"Filled"</formula>
    </cfRule>
  </conditionalFormatting>
  <conditionalFormatting sqref="E10:E14">
    <cfRule type="expression" dxfId="15" priority="33" stopIfTrue="1">
      <formula>E$6&lt;&gt;"Filled"</formula>
    </cfRule>
  </conditionalFormatting>
  <conditionalFormatting sqref="F10:F14">
    <cfRule type="expression" dxfId="14" priority="32" stopIfTrue="1">
      <formula>F$6&lt;&gt;"Filled"</formula>
    </cfRule>
  </conditionalFormatting>
  <conditionalFormatting sqref="D18:D22">
    <cfRule type="expression" dxfId="13" priority="29" stopIfTrue="1">
      <formula>D$6&lt;&gt;"Filled"</formula>
    </cfRule>
  </conditionalFormatting>
  <conditionalFormatting sqref="E18:E22">
    <cfRule type="expression" dxfId="12" priority="27" stopIfTrue="1">
      <formula>E$6&lt;&gt;"Filled"</formula>
    </cfRule>
  </conditionalFormatting>
  <conditionalFormatting sqref="F18:F22">
    <cfRule type="expression" dxfId="11" priority="26" stopIfTrue="1">
      <formula>F$6&lt;&gt;"Filled"</formula>
    </cfRule>
  </conditionalFormatting>
  <conditionalFormatting sqref="E24">
    <cfRule type="expression" dxfId="10" priority="23" stopIfTrue="1">
      <formula>E$6&lt;&gt;"Filled"</formula>
    </cfRule>
  </conditionalFormatting>
  <conditionalFormatting sqref="F24">
    <cfRule type="expression" dxfId="9" priority="22" stopIfTrue="1">
      <formula>F$6&lt;&gt;"Filled"</formula>
    </cfRule>
  </conditionalFormatting>
  <conditionalFormatting sqref="D28:D44">
    <cfRule type="expression" dxfId="8" priority="20" stopIfTrue="1">
      <formula>D$6&lt;&gt;"Filled"</formula>
    </cfRule>
  </conditionalFormatting>
  <conditionalFormatting sqref="E28:E44">
    <cfRule type="expression" dxfId="7" priority="18" stopIfTrue="1">
      <formula>E$6&lt;&gt;"Filled"</formula>
    </cfRule>
  </conditionalFormatting>
  <conditionalFormatting sqref="F28:F44">
    <cfRule type="expression" dxfId="6" priority="17" stopIfTrue="1">
      <formula>F$6&lt;&gt;"Filled"</formula>
    </cfRule>
  </conditionalFormatting>
  <conditionalFormatting sqref="E48:E54">
    <cfRule type="expression" dxfId="5" priority="13" stopIfTrue="1">
      <formula>E$6&lt;&gt;"Filled"</formula>
    </cfRule>
  </conditionalFormatting>
  <conditionalFormatting sqref="F48:F54">
    <cfRule type="expression" dxfId="4" priority="12" stopIfTrue="1">
      <formula>F$6&lt;&gt;"Filled"</formula>
    </cfRule>
  </conditionalFormatting>
  <conditionalFormatting sqref="E56:E57">
    <cfRule type="expression" dxfId="3" priority="8" stopIfTrue="1">
      <formula>E$6&lt;&gt;"Filled"</formula>
    </cfRule>
  </conditionalFormatting>
  <conditionalFormatting sqref="F56:F57">
    <cfRule type="expression" dxfId="2" priority="7" stopIfTrue="1">
      <formula>F$6&lt;&gt;"Filled"</formula>
    </cfRule>
  </conditionalFormatting>
  <conditionalFormatting sqref="E62:E67">
    <cfRule type="expression" dxfId="1" priority="3" stopIfTrue="1">
      <formula>E$6&lt;&gt;"Filled"</formula>
    </cfRule>
  </conditionalFormatting>
  <conditionalFormatting sqref="F62:F67">
    <cfRule type="expression" dxfId="0" priority="2" stopIfTrue="1">
      <formula>F$6&lt;&gt;"Filled"</formula>
    </cfRule>
  </conditionalFormatting>
  <hyperlinks>
    <hyperlink ref="C2" location="P.Index!A1" display="Basic SCR, Operational risk and SCR"/>
  </hyperlinks>
  <pageMargins left="0.25" right="0.25" top="0.75" bottom="0.75" header="0.3" footer="0.3"/>
  <pageSetup paperSize="9"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tabColor theme="9" tint="-0.249977111117893"/>
  </sheetPr>
  <dimension ref="A1:U117"/>
  <sheetViews>
    <sheetView tabSelected="1" workbookViewId="0">
      <selection activeCell="E17" sqref="E17"/>
    </sheetView>
  </sheetViews>
  <sheetFormatPr defaultColWidth="4.42578125" defaultRowHeight="15" outlineLevelCol="1" x14ac:dyDescent="0.25"/>
  <cols>
    <col min="1" max="1" width="7.140625" style="20" customWidth="1"/>
    <col min="2" max="2" width="67.140625" style="20" customWidth="1"/>
    <col min="3" max="3" width="25.85546875" style="20" customWidth="1"/>
    <col min="4" max="4" width="11.42578125" style="20" customWidth="1"/>
    <col min="5" max="5" width="13.7109375" style="20" customWidth="1"/>
    <col min="6" max="6" width="2.7109375" style="20" customWidth="1"/>
    <col min="7" max="8" width="16.42578125" style="20" hidden="1" customWidth="1" outlineLevel="1"/>
    <col min="9" max="9" width="18.7109375" style="20" hidden="1" customWidth="1" outlineLevel="1"/>
    <col min="10" max="11" width="10.28515625" style="20" hidden="1" customWidth="1" outlineLevel="1"/>
    <col min="12" max="12" width="11.42578125" style="20" hidden="1" customWidth="1" outlineLevel="1"/>
    <col min="13" max="19" width="10.28515625" style="20" hidden="1" customWidth="1" outlineLevel="1"/>
    <col min="20" max="20" width="1.85546875" style="20" bestFit="1" customWidth="1" collapsed="1"/>
    <col min="21" max="246" width="10.28515625" style="20" customWidth="1"/>
    <col min="247" max="247" width="5.85546875" style="20" customWidth="1"/>
    <col min="248" max="248" width="67.140625" style="20" customWidth="1"/>
    <col min="249" max="249" width="6" style="20" customWidth="1"/>
    <col min="250" max="250" width="12.5703125" style="20" customWidth="1"/>
    <col min="251" max="255" width="11.42578125" style="20" customWidth="1"/>
    <col min="256" max="16384" width="4.42578125" style="20"/>
  </cols>
  <sheetData>
    <row r="1" spans="1:20" ht="15.75" x14ac:dyDescent="0.25">
      <c r="A1" s="493" t="str">
        <f>IF(C7="-","&lt;Participant's name&gt;",C7)</f>
        <v>&lt;Participant's name&gt;</v>
      </c>
      <c r="B1" s="494"/>
      <c r="C1" s="495"/>
      <c r="D1" s="495"/>
      <c r="E1" s="485" t="str">
        <f>$C$20&amp;" - "&amp;$C$22&amp;" ("&amp;$C$23&amp;")"</f>
        <v>2013 - HUF (Thousands)</v>
      </c>
      <c r="F1" s="18" t="s">
        <v>89</v>
      </c>
      <c r="G1" s="330">
        <f>MATCH(C14,G2:G4,0)</f>
        <v>2</v>
      </c>
      <c r="H1" s="330">
        <f>MATCH(C17,H2:H7,0)</f>
        <v>1</v>
      </c>
      <c r="I1" s="330">
        <f>MATCH(C13,I2:I4,0)</f>
        <v>1</v>
      </c>
      <c r="T1" s="18" t="s">
        <v>89</v>
      </c>
    </row>
    <row r="2" spans="1:20" ht="15.75" x14ac:dyDescent="0.25">
      <c r="A2" s="486" t="str">
        <f>C17&amp;IF(C10="Yes"," [Mutual]","")&amp;IF(C18="Yes"," [Internal Model]","")</f>
        <v>-</v>
      </c>
      <c r="B2" s="496"/>
      <c r="C2" s="497" t="s">
        <v>762</v>
      </c>
      <c r="D2" s="489"/>
      <c r="E2" s="492" t="str">
        <f>Version</f>
        <v>2013 12 31</v>
      </c>
      <c r="F2" s="18" t="s">
        <v>89</v>
      </c>
      <c r="G2" s="286" t="s">
        <v>521</v>
      </c>
      <c r="H2" s="286" t="s">
        <v>521</v>
      </c>
      <c r="I2" s="286" t="s">
        <v>521</v>
      </c>
      <c r="J2" s="61" t="s">
        <v>343</v>
      </c>
      <c r="K2" s="62">
        <v>1</v>
      </c>
      <c r="L2" s="921" t="s">
        <v>535</v>
      </c>
      <c r="T2" s="18" t="s">
        <v>89</v>
      </c>
    </row>
    <row r="3" spans="1:20" x14ac:dyDescent="0.25">
      <c r="A3" s="21"/>
      <c r="B3" s="21"/>
      <c r="C3" s="22"/>
      <c r="D3" s="22"/>
      <c r="E3" s="22"/>
      <c r="F3" s="18" t="s">
        <v>89</v>
      </c>
      <c r="G3" s="287" t="s">
        <v>813</v>
      </c>
      <c r="H3" s="287" t="s">
        <v>504</v>
      </c>
      <c r="I3" s="287" t="s">
        <v>812</v>
      </c>
      <c r="J3" s="66" t="s">
        <v>111</v>
      </c>
      <c r="K3" s="67">
        <v>1000</v>
      </c>
      <c r="L3" s="74" t="s">
        <v>533</v>
      </c>
      <c r="T3" s="18" t="s">
        <v>89</v>
      </c>
    </row>
    <row r="4" spans="1:20" x14ac:dyDescent="0.25">
      <c r="A4" s="21"/>
      <c r="B4" s="21"/>
      <c r="C4" s="23"/>
      <c r="D4" s="23"/>
      <c r="E4" s="274" t="str">
        <f>HYPERLINK("#'P.index'!H7","&gt;&gt; goto index")</f>
        <v>&gt;&gt; goto index</v>
      </c>
      <c r="F4" s="18" t="s">
        <v>89</v>
      </c>
      <c r="G4" s="288" t="s">
        <v>814</v>
      </c>
      <c r="H4" s="287" t="s">
        <v>516</v>
      </c>
      <c r="I4" s="288" t="s">
        <v>811</v>
      </c>
      <c r="T4" s="18" t="s">
        <v>89</v>
      </c>
    </row>
    <row r="5" spans="1:20" x14ac:dyDescent="0.25">
      <c r="A5" s="21"/>
      <c r="B5" s="21"/>
      <c r="C5" s="22"/>
      <c r="D5" s="22"/>
      <c r="E5" s="22"/>
      <c r="F5" s="18" t="s">
        <v>89</v>
      </c>
      <c r="G5" s="19"/>
      <c r="H5" s="287" t="s">
        <v>656</v>
      </c>
      <c r="T5" s="18" t="s">
        <v>89</v>
      </c>
    </row>
    <row r="6" spans="1:20" x14ac:dyDescent="0.25">
      <c r="A6" s="21"/>
      <c r="B6" s="158" t="s">
        <v>93</v>
      </c>
      <c r="C6" s="275"/>
      <c r="D6" s="275"/>
      <c r="E6" s="276"/>
      <c r="F6" s="18" t="s">
        <v>89</v>
      </c>
      <c r="G6" s="19"/>
      <c r="H6" s="287" t="s">
        <v>808</v>
      </c>
      <c r="P6" s="402" t="s">
        <v>521</v>
      </c>
      <c r="T6" s="18" t="s">
        <v>89</v>
      </c>
    </row>
    <row r="7" spans="1:20" x14ac:dyDescent="0.25">
      <c r="A7" s="25"/>
      <c r="B7" s="572" t="s">
        <v>95</v>
      </c>
      <c r="C7" s="1036" t="s">
        <v>521</v>
      </c>
      <c r="D7" s="1037"/>
      <c r="E7" s="1038"/>
      <c r="F7" s="18" t="s">
        <v>89</v>
      </c>
      <c r="G7" s="19"/>
      <c r="H7" s="288" t="s">
        <v>809</v>
      </c>
      <c r="P7" s="402" t="s">
        <v>49</v>
      </c>
      <c r="T7" s="18" t="s">
        <v>89</v>
      </c>
    </row>
    <row r="8" spans="1:20" x14ac:dyDescent="0.25">
      <c r="A8" s="25"/>
      <c r="B8" s="573" t="s">
        <v>96</v>
      </c>
      <c r="C8" s="927" t="s">
        <v>521</v>
      </c>
      <c r="D8" s="277"/>
      <c r="E8" s="278"/>
      <c r="F8" s="18" t="s">
        <v>89</v>
      </c>
      <c r="G8" s="19"/>
      <c r="H8" s="19"/>
      <c r="P8" s="402" t="s">
        <v>38</v>
      </c>
      <c r="T8" s="18" t="s">
        <v>89</v>
      </c>
    </row>
    <row r="9" spans="1:20" x14ac:dyDescent="0.25">
      <c r="A9" s="25"/>
      <c r="B9" s="573" t="s">
        <v>97</v>
      </c>
      <c r="C9" s="923" t="s">
        <v>521</v>
      </c>
      <c r="D9" s="516"/>
      <c r="E9" s="517"/>
      <c r="F9" s="18" t="s">
        <v>89</v>
      </c>
      <c r="G9" s="19"/>
      <c r="H9" s="19"/>
      <c r="P9" s="402" t="s">
        <v>236</v>
      </c>
      <c r="T9" s="18" t="s">
        <v>89</v>
      </c>
    </row>
    <row r="10" spans="1:20" s="300" customFormat="1" x14ac:dyDescent="0.25">
      <c r="A10" s="25"/>
      <c r="B10" s="573" t="s">
        <v>913</v>
      </c>
      <c r="C10" s="918" t="s">
        <v>533</v>
      </c>
      <c r="D10" s="21"/>
      <c r="E10" s="28"/>
      <c r="F10" s="18" t="s">
        <v>89</v>
      </c>
      <c r="G10" s="331" t="b">
        <f>TRIM(UPPER(C10))="YES"</f>
        <v>0</v>
      </c>
      <c r="H10" s="328" t="s">
        <v>912</v>
      </c>
      <c r="P10" s="402" t="s">
        <v>1157</v>
      </c>
      <c r="T10" s="18" t="s">
        <v>89</v>
      </c>
    </row>
    <row r="11" spans="1:20" x14ac:dyDescent="0.25">
      <c r="A11" s="25"/>
      <c r="B11" s="574" t="s">
        <v>98</v>
      </c>
      <c r="C11" s="926" t="s">
        <v>521</v>
      </c>
      <c r="D11" s="21"/>
      <c r="E11" s="21"/>
      <c r="F11" s="18" t="s">
        <v>89</v>
      </c>
      <c r="G11" s="27"/>
      <c r="H11" s="19"/>
      <c r="P11" s="402" t="s">
        <v>278</v>
      </c>
      <c r="T11" s="18" t="s">
        <v>89</v>
      </c>
    </row>
    <row r="12" spans="1:20" x14ac:dyDescent="0.25">
      <c r="A12" s="25"/>
      <c r="B12" s="573" t="s">
        <v>99</v>
      </c>
      <c r="C12" s="575" t="s">
        <v>519</v>
      </c>
      <c r="D12" s="21"/>
      <c r="E12" s="28"/>
      <c r="F12" s="18" t="s">
        <v>89</v>
      </c>
      <c r="G12" s="27"/>
      <c r="H12" s="68"/>
      <c r="P12" s="402" t="s">
        <v>39</v>
      </c>
      <c r="T12" s="18" t="s">
        <v>89</v>
      </c>
    </row>
    <row r="13" spans="1:20" s="208" customFormat="1" x14ac:dyDescent="0.25">
      <c r="A13" s="25"/>
      <c r="B13" s="573" t="s">
        <v>810</v>
      </c>
      <c r="C13" s="918" t="s">
        <v>521</v>
      </c>
      <c r="D13" s="21"/>
      <c r="E13" s="28"/>
      <c r="F13" s="18" t="s">
        <v>89</v>
      </c>
      <c r="T13" s="18" t="s">
        <v>89</v>
      </c>
    </row>
    <row r="14" spans="1:20" s="208" customFormat="1" x14ac:dyDescent="0.25">
      <c r="A14" s="25"/>
      <c r="B14" s="573" t="s">
        <v>817</v>
      </c>
      <c r="C14" s="918" t="s">
        <v>813</v>
      </c>
      <c r="D14" s="21"/>
      <c r="E14" s="28"/>
      <c r="F14" s="18" t="s">
        <v>89</v>
      </c>
      <c r="G14" s="331" t="b">
        <f>C14=$G$3</f>
        <v>1</v>
      </c>
      <c r="H14" s="328" t="s">
        <v>848</v>
      </c>
      <c r="T14" s="18" t="s">
        <v>89</v>
      </c>
    </row>
    <row r="15" spans="1:20" s="208" customFormat="1" x14ac:dyDescent="0.25">
      <c r="A15" s="25"/>
      <c r="B15" s="573" t="s">
        <v>816</v>
      </c>
      <c r="C15" s="918" t="s">
        <v>533</v>
      </c>
      <c r="D15" s="21"/>
      <c r="E15" s="28"/>
      <c r="F15" s="18" t="s">
        <v>89</v>
      </c>
      <c r="G15" s="331" t="b">
        <f>TRIM(UPPER(C15))="YES"</f>
        <v>0</v>
      </c>
      <c r="H15" s="328" t="s">
        <v>90</v>
      </c>
      <c r="T15" s="18" t="s">
        <v>89</v>
      </c>
    </row>
    <row r="16" spans="1:20" s="300" customFormat="1" x14ac:dyDescent="0.25">
      <c r="A16" s="25"/>
      <c r="B16" s="573" t="s">
        <v>910</v>
      </c>
      <c r="C16" s="918" t="s">
        <v>533</v>
      </c>
      <c r="D16" s="21"/>
      <c r="E16" s="28"/>
      <c r="F16" s="18" t="s">
        <v>89</v>
      </c>
      <c r="G16" s="331" t="b">
        <f>TRIM(UPPER(C16))="YES"</f>
        <v>0</v>
      </c>
      <c r="H16" s="329" t="s">
        <v>911</v>
      </c>
      <c r="T16" s="18" t="s">
        <v>89</v>
      </c>
    </row>
    <row r="17" spans="1:20" x14ac:dyDescent="0.25">
      <c r="A17" s="25"/>
      <c r="B17" s="573" t="s">
        <v>100</v>
      </c>
      <c r="C17" s="918" t="s">
        <v>521</v>
      </c>
      <c r="D17" s="21"/>
      <c r="E17" s="28"/>
      <c r="F17" s="18" t="s">
        <v>89</v>
      </c>
      <c r="K17" s="208"/>
      <c r="L17" s="208"/>
      <c r="T17" s="18" t="s">
        <v>89</v>
      </c>
    </row>
    <row r="18" spans="1:20" x14ac:dyDescent="0.25">
      <c r="A18" s="25"/>
      <c r="B18" s="573" t="s">
        <v>101</v>
      </c>
      <c r="C18" s="918" t="s">
        <v>533</v>
      </c>
      <c r="D18" s="21"/>
      <c r="E18" s="28"/>
      <c r="F18" s="18" t="s">
        <v>89</v>
      </c>
      <c r="G18" s="331" t="b">
        <f>C18="Yes"</f>
        <v>0</v>
      </c>
      <c r="H18" s="328" t="s">
        <v>91</v>
      </c>
      <c r="K18" s="208"/>
      <c r="L18" s="208"/>
      <c r="T18" s="18" t="s">
        <v>89</v>
      </c>
    </row>
    <row r="19" spans="1:20" x14ac:dyDescent="0.25">
      <c r="A19" s="25"/>
      <c r="B19" s="573" t="s">
        <v>506</v>
      </c>
      <c r="C19" s="918" t="s">
        <v>533</v>
      </c>
      <c r="D19" s="21"/>
      <c r="E19" s="28"/>
      <c r="F19" s="18" t="s">
        <v>89</v>
      </c>
      <c r="G19" s="331" t="b">
        <f>C19="Yes"</f>
        <v>0</v>
      </c>
      <c r="H19" s="328" t="s">
        <v>507</v>
      </c>
      <c r="T19" s="18" t="s">
        <v>89</v>
      </c>
    </row>
    <row r="20" spans="1:20" x14ac:dyDescent="0.25">
      <c r="A20" s="25"/>
      <c r="B20" s="573" t="s">
        <v>102</v>
      </c>
      <c r="C20" s="576">
        <v>2013</v>
      </c>
      <c r="D20" s="21"/>
      <c r="E20" s="28"/>
      <c r="F20" s="18" t="s">
        <v>89</v>
      </c>
      <c r="G20" s="19"/>
      <c r="H20" s="19"/>
      <c r="T20" s="18" t="s">
        <v>89</v>
      </c>
    </row>
    <row r="21" spans="1:20" x14ac:dyDescent="0.25">
      <c r="A21" s="25"/>
      <c r="B21" s="573" t="s">
        <v>1129</v>
      </c>
      <c r="C21" s="919">
        <v>41639</v>
      </c>
      <c r="D21" s="21"/>
      <c r="E21" s="28"/>
      <c r="F21" s="18" t="s">
        <v>89</v>
      </c>
      <c r="G21" s="19"/>
      <c r="H21" s="19"/>
      <c r="I21" s="402" t="s">
        <v>1130</v>
      </c>
      <c r="L21" s="402"/>
      <c r="M21" s="402"/>
      <c r="T21" s="18" t="s">
        <v>89</v>
      </c>
    </row>
    <row r="22" spans="1:20" x14ac:dyDescent="0.25">
      <c r="A22" s="25"/>
      <c r="B22" s="573" t="s">
        <v>103</v>
      </c>
      <c r="C22" s="918" t="s">
        <v>49</v>
      </c>
      <c r="D22" s="577" t="s">
        <v>112</v>
      </c>
      <c r="E22" s="28"/>
      <c r="F22" s="18" t="s">
        <v>89</v>
      </c>
      <c r="G22" s="19"/>
      <c r="H22" s="19"/>
      <c r="J22" s="289" t="s">
        <v>1131</v>
      </c>
      <c r="L22" s="69" t="s">
        <v>344</v>
      </c>
      <c r="M22" s="70">
        <f ca="1">INDEX(K2:K3,G23)*SUM(OFFSET(M23,J23,0))</f>
        <v>3.1762929000000001E-3</v>
      </c>
      <c r="N22" s="300"/>
      <c r="T22" s="18" t="s">
        <v>89</v>
      </c>
    </row>
    <row r="23" spans="1:20" x14ac:dyDescent="0.25">
      <c r="A23" s="25"/>
      <c r="B23" s="573" t="s">
        <v>104</v>
      </c>
      <c r="C23" s="920" t="s">
        <v>343</v>
      </c>
      <c r="D23" s="978">
        <f ca="1">$M$22</f>
        <v>3.1762929000000001E-3</v>
      </c>
      <c r="E23" s="28"/>
      <c r="F23" s="18" t="s">
        <v>89</v>
      </c>
      <c r="G23" s="332">
        <f>MATCH(C23,J2:J3,0)</f>
        <v>1</v>
      </c>
      <c r="H23" s="19"/>
      <c r="I23" s="72" t="s">
        <v>936</v>
      </c>
      <c r="J23" s="333">
        <f>MATCH(C22,I24:I97,0)</f>
        <v>30</v>
      </c>
      <c r="K23" s="61" t="s">
        <v>105</v>
      </c>
      <c r="L23" s="61" t="s">
        <v>209</v>
      </c>
      <c r="M23" s="62" t="s">
        <v>210</v>
      </c>
      <c r="N23" s="300"/>
      <c r="O23" s="75" t="s">
        <v>105</v>
      </c>
      <c r="P23" s="69" t="s">
        <v>37</v>
      </c>
      <c r="Q23" s="72" t="s">
        <v>936</v>
      </c>
      <c r="R23" s="72" t="s">
        <v>452</v>
      </c>
      <c r="S23" s="72" t="s">
        <v>937</v>
      </c>
      <c r="T23" s="18" t="s">
        <v>89</v>
      </c>
    </row>
    <row r="24" spans="1:20" x14ac:dyDescent="0.25">
      <c r="A24" s="25"/>
      <c r="B24" s="572" t="s">
        <v>815</v>
      </c>
      <c r="C24" s="514" t="s">
        <v>521</v>
      </c>
      <c r="D24" s="28"/>
      <c r="E24" s="28"/>
      <c r="F24" s="18" t="s">
        <v>89</v>
      </c>
      <c r="G24" s="330">
        <f>MATCH(C24,_AllCountries,0)</f>
        <v>1</v>
      </c>
      <c r="H24" s="19"/>
      <c r="I24" s="286" t="s">
        <v>521</v>
      </c>
      <c r="J24" s="334" t="s">
        <v>521</v>
      </c>
      <c r="K24" s="286" t="s">
        <v>521</v>
      </c>
      <c r="L24" s="286" t="s">
        <v>521</v>
      </c>
      <c r="M24" s="286" t="s">
        <v>521</v>
      </c>
      <c r="O24" s="286" t="s">
        <v>521</v>
      </c>
      <c r="P24" s="286" t="s">
        <v>521</v>
      </c>
      <c r="Q24" s="286" t="s">
        <v>521</v>
      </c>
      <c r="R24" s="286" t="s">
        <v>521</v>
      </c>
      <c r="S24" s="286" t="s">
        <v>521</v>
      </c>
      <c r="T24" s="18" t="s">
        <v>89</v>
      </c>
    </row>
    <row r="25" spans="1:20" x14ac:dyDescent="0.25">
      <c r="A25" s="25"/>
      <c r="B25" s="573" t="s">
        <v>106</v>
      </c>
      <c r="C25" s="514" t="s">
        <v>393</v>
      </c>
      <c r="D25" s="26"/>
      <c r="E25" s="28"/>
      <c r="F25" s="18" t="s">
        <v>89</v>
      </c>
      <c r="G25" s="330">
        <f>MATCH(C25,_EEACountries,0)</f>
        <v>13</v>
      </c>
      <c r="H25" s="19"/>
      <c r="I25" s="73" t="s">
        <v>211</v>
      </c>
      <c r="J25" s="64" t="s">
        <v>212</v>
      </c>
      <c r="K25" s="64" t="s">
        <v>367</v>
      </c>
      <c r="L25" s="930">
        <v>4.7597125525999999</v>
      </c>
      <c r="M25" s="931">
        <v>0.21009672099999999</v>
      </c>
      <c r="O25" s="73" t="s">
        <v>347</v>
      </c>
      <c r="P25" s="63" t="s">
        <v>254</v>
      </c>
      <c r="Q25" s="73" t="s">
        <v>38</v>
      </c>
      <c r="R25" s="73" t="s">
        <v>497</v>
      </c>
      <c r="S25" s="73" t="s">
        <v>781</v>
      </c>
      <c r="T25" s="18" t="s">
        <v>89</v>
      </c>
    </row>
    <row r="26" spans="1:20" x14ac:dyDescent="0.25">
      <c r="A26" s="25"/>
      <c r="B26" s="578" t="s">
        <v>107</v>
      </c>
      <c r="C26" s="519" t="s">
        <v>521</v>
      </c>
      <c r="D26" s="28"/>
      <c r="E26" s="28"/>
      <c r="F26" s="18" t="s">
        <v>89</v>
      </c>
      <c r="G26" s="19"/>
      <c r="H26" s="19"/>
      <c r="I26" s="73" t="s">
        <v>213</v>
      </c>
      <c r="J26" s="64" t="s">
        <v>214</v>
      </c>
      <c r="K26" s="64" t="s">
        <v>368</v>
      </c>
      <c r="L26" s="930">
        <v>62.617888000000001</v>
      </c>
      <c r="M26" s="931">
        <v>1.59698775E-2</v>
      </c>
      <c r="O26" s="73" t="s">
        <v>348</v>
      </c>
      <c r="P26" s="63" t="s">
        <v>254</v>
      </c>
      <c r="Q26" s="73" t="s">
        <v>38</v>
      </c>
      <c r="R26" s="73" t="s">
        <v>497</v>
      </c>
      <c r="S26" s="73" t="s">
        <v>640</v>
      </c>
      <c r="T26" s="18" t="s">
        <v>89</v>
      </c>
    </row>
    <row r="27" spans="1:20" x14ac:dyDescent="0.25">
      <c r="A27" s="21"/>
      <c r="B27" s="21"/>
      <c r="C27" s="21"/>
      <c r="D27" s="21"/>
      <c r="E27" s="21"/>
      <c r="F27" s="18" t="s">
        <v>89</v>
      </c>
      <c r="G27" s="19"/>
      <c r="H27" s="19"/>
      <c r="I27" s="73" t="s">
        <v>215</v>
      </c>
      <c r="J27" s="64" t="s">
        <v>216</v>
      </c>
      <c r="K27" s="64" t="s">
        <v>369</v>
      </c>
      <c r="L27" s="930">
        <v>139.361086</v>
      </c>
      <c r="M27" s="931">
        <v>7.1756042000000004E-3</v>
      </c>
      <c r="O27" s="73" t="s">
        <v>374</v>
      </c>
      <c r="P27" s="63" t="s">
        <v>225</v>
      </c>
      <c r="Q27" s="73" t="s">
        <v>42</v>
      </c>
      <c r="R27" s="73" t="s">
        <v>497</v>
      </c>
      <c r="S27" s="73" t="s">
        <v>782</v>
      </c>
      <c r="T27" s="18" t="s">
        <v>89</v>
      </c>
    </row>
    <row r="28" spans="1:20" x14ac:dyDescent="0.25">
      <c r="A28" s="21"/>
      <c r="B28" s="158" t="s">
        <v>94</v>
      </c>
      <c r="C28" s="275"/>
      <c r="D28" s="275"/>
      <c r="E28" s="276"/>
      <c r="F28" s="18" t="s">
        <v>89</v>
      </c>
      <c r="G28" s="19"/>
      <c r="H28" s="19"/>
      <c r="I28" s="73" t="s">
        <v>217</v>
      </c>
      <c r="J28" s="64" t="s">
        <v>218</v>
      </c>
      <c r="K28" s="64" t="s">
        <v>370</v>
      </c>
      <c r="L28" s="930">
        <v>5.5749618593000001</v>
      </c>
      <c r="M28" s="931">
        <v>0.17937342449999999</v>
      </c>
      <c r="O28" s="73" t="s">
        <v>349</v>
      </c>
      <c r="P28" s="63" t="s">
        <v>254</v>
      </c>
      <c r="Q28" s="73" t="s">
        <v>38</v>
      </c>
      <c r="R28" s="73" t="s">
        <v>497</v>
      </c>
      <c r="S28" s="73" t="s">
        <v>783</v>
      </c>
      <c r="T28" s="18" t="s">
        <v>89</v>
      </c>
    </row>
    <row r="29" spans="1:20" x14ac:dyDescent="0.25">
      <c r="A29" s="25"/>
      <c r="B29" s="572" t="s">
        <v>113</v>
      </c>
      <c r="C29" s="922" t="s">
        <v>521</v>
      </c>
      <c r="D29" s="521"/>
      <c r="E29" s="522"/>
      <c r="F29" s="18" t="s">
        <v>89</v>
      </c>
      <c r="G29" s="19"/>
      <c r="H29" s="19"/>
      <c r="I29" s="73" t="s">
        <v>219</v>
      </c>
      <c r="J29" s="64" t="s">
        <v>220</v>
      </c>
      <c r="K29" s="64" t="s">
        <v>371</v>
      </c>
      <c r="L29" s="930">
        <v>1.2695566985</v>
      </c>
      <c r="M29" s="931">
        <v>0.78767651819999995</v>
      </c>
      <c r="O29" s="73" t="s">
        <v>385</v>
      </c>
      <c r="P29" s="63" t="s">
        <v>246</v>
      </c>
      <c r="Q29" s="73" t="s">
        <v>43</v>
      </c>
      <c r="R29" s="73" t="s">
        <v>497</v>
      </c>
      <c r="S29" s="73" t="s">
        <v>784</v>
      </c>
      <c r="T29" s="18" t="s">
        <v>89</v>
      </c>
    </row>
    <row r="30" spans="1:20" x14ac:dyDescent="0.25">
      <c r="A30" s="25"/>
      <c r="B30" s="579" t="s">
        <v>108</v>
      </c>
      <c r="C30" s="923" t="s">
        <v>521</v>
      </c>
      <c r="D30" s="523"/>
      <c r="E30" s="524"/>
      <c r="F30" s="18" t="s">
        <v>89</v>
      </c>
      <c r="G30" s="19"/>
      <c r="H30" s="19"/>
      <c r="I30" s="73" t="s">
        <v>221</v>
      </c>
      <c r="J30" s="64" t="s">
        <v>222</v>
      </c>
      <c r="K30" s="64" t="s">
        <v>372</v>
      </c>
      <c r="L30" s="930">
        <v>2.5918000000000001</v>
      </c>
      <c r="M30" s="931">
        <v>0.3858322401</v>
      </c>
      <c r="O30" s="73" t="s">
        <v>386</v>
      </c>
      <c r="P30" s="63" t="s">
        <v>247</v>
      </c>
      <c r="Q30" s="73" t="s">
        <v>48</v>
      </c>
      <c r="R30" s="73" t="s">
        <v>497</v>
      </c>
      <c r="S30" s="73" t="s">
        <v>785</v>
      </c>
      <c r="T30" s="18" t="s">
        <v>89</v>
      </c>
    </row>
    <row r="31" spans="1:20" x14ac:dyDescent="0.25">
      <c r="A31" s="25"/>
      <c r="B31" s="579" t="s">
        <v>109</v>
      </c>
      <c r="C31" s="924" t="s">
        <v>521</v>
      </c>
      <c r="D31" s="523"/>
      <c r="E31" s="524"/>
      <c r="F31" s="18" t="s">
        <v>89</v>
      </c>
      <c r="G31" s="19"/>
      <c r="H31" s="19"/>
      <c r="I31" s="73" t="s">
        <v>223</v>
      </c>
      <c r="J31" s="64" t="s">
        <v>224</v>
      </c>
      <c r="K31" s="64" t="s">
        <v>373</v>
      </c>
      <c r="L31" s="930">
        <v>105.97921880840001</v>
      </c>
      <c r="M31" s="931">
        <v>9.4358120999999996E-3</v>
      </c>
      <c r="O31" s="73" t="s">
        <v>350</v>
      </c>
      <c r="P31" s="63" t="s">
        <v>254</v>
      </c>
      <c r="Q31" s="73" t="s">
        <v>38</v>
      </c>
      <c r="R31" s="73" t="s">
        <v>497</v>
      </c>
      <c r="S31" s="73" t="s">
        <v>786</v>
      </c>
      <c r="T31" s="18" t="s">
        <v>89</v>
      </c>
    </row>
    <row r="32" spans="1:20" x14ac:dyDescent="0.25">
      <c r="A32" s="25"/>
      <c r="B32" s="580" t="s">
        <v>110</v>
      </c>
      <c r="C32" s="925" t="s">
        <v>521</v>
      </c>
      <c r="D32" s="526"/>
      <c r="E32" s="527"/>
      <c r="F32" s="18" t="s">
        <v>89</v>
      </c>
      <c r="G32" s="19"/>
      <c r="H32" s="19"/>
      <c r="I32" s="73" t="s">
        <v>42</v>
      </c>
      <c r="J32" s="64" t="s">
        <v>225</v>
      </c>
      <c r="K32" s="64" t="s">
        <v>374</v>
      </c>
      <c r="L32" s="930">
        <v>1.9585455060000001</v>
      </c>
      <c r="M32" s="931">
        <v>0.51058297949999998</v>
      </c>
      <c r="O32" s="73" t="s">
        <v>351</v>
      </c>
      <c r="P32" s="63" t="s">
        <v>254</v>
      </c>
      <c r="Q32" s="73" t="s">
        <v>38</v>
      </c>
      <c r="R32" s="73" t="s">
        <v>497</v>
      </c>
      <c r="S32" s="73" t="s">
        <v>787</v>
      </c>
      <c r="T32" s="18" t="s">
        <v>89</v>
      </c>
    </row>
    <row r="33" spans="1:20" x14ac:dyDescent="0.25">
      <c r="A33" s="25"/>
      <c r="B33" s="572" t="s">
        <v>113</v>
      </c>
      <c r="C33" s="922" t="s">
        <v>521</v>
      </c>
      <c r="D33" s="521"/>
      <c r="E33" s="522"/>
      <c r="F33" s="18" t="s">
        <v>89</v>
      </c>
      <c r="G33" s="19"/>
      <c r="H33" s="19"/>
      <c r="I33" s="73" t="s">
        <v>226</v>
      </c>
      <c r="J33" s="64" t="s">
        <v>227</v>
      </c>
      <c r="K33" s="64" t="s">
        <v>375</v>
      </c>
      <c r="L33" s="930">
        <v>0.48855455409999998</v>
      </c>
      <c r="M33" s="931">
        <v>2.0468543208000001</v>
      </c>
      <c r="O33" s="73" t="s">
        <v>73</v>
      </c>
      <c r="P33" s="63" t="s">
        <v>254</v>
      </c>
      <c r="Q33" s="73" t="s">
        <v>38</v>
      </c>
      <c r="R33" s="73" t="s">
        <v>497</v>
      </c>
      <c r="S33" s="73" t="s">
        <v>788</v>
      </c>
      <c r="T33" s="18" t="s">
        <v>89</v>
      </c>
    </row>
    <row r="34" spans="1:20" x14ac:dyDescent="0.25">
      <c r="A34" s="25"/>
      <c r="B34" s="579" t="s">
        <v>108</v>
      </c>
      <c r="C34" s="923" t="s">
        <v>521</v>
      </c>
      <c r="D34" s="523"/>
      <c r="E34" s="524"/>
      <c r="F34" s="18" t="s">
        <v>89</v>
      </c>
      <c r="G34" s="19"/>
      <c r="H34" s="19"/>
      <c r="I34" s="73" t="s">
        <v>228</v>
      </c>
      <c r="J34" s="64" t="s">
        <v>229</v>
      </c>
      <c r="K34" s="64" t="s">
        <v>376</v>
      </c>
      <c r="L34" s="930">
        <v>1.2959000000000001</v>
      </c>
      <c r="M34" s="931">
        <v>0.77166448030000001</v>
      </c>
      <c r="O34" s="73" t="s">
        <v>72</v>
      </c>
      <c r="P34" s="63" t="s">
        <v>254</v>
      </c>
      <c r="Q34" s="73" t="s">
        <v>38</v>
      </c>
      <c r="R34" s="73" t="s">
        <v>497</v>
      </c>
      <c r="S34" s="73" t="s">
        <v>789</v>
      </c>
      <c r="T34" s="18" t="s">
        <v>89</v>
      </c>
    </row>
    <row r="35" spans="1:20" x14ac:dyDescent="0.25">
      <c r="A35" s="25"/>
      <c r="B35" s="579" t="s">
        <v>109</v>
      </c>
      <c r="C35" s="924" t="s">
        <v>521</v>
      </c>
      <c r="D35" s="523"/>
      <c r="E35" s="524"/>
      <c r="F35" s="18" t="s">
        <v>89</v>
      </c>
      <c r="G35" s="19"/>
      <c r="H35" s="19"/>
      <c r="I35" s="73" t="s">
        <v>230</v>
      </c>
      <c r="J35" s="64" t="s">
        <v>231</v>
      </c>
      <c r="K35" s="64" t="s">
        <v>377</v>
      </c>
      <c r="L35" s="930">
        <v>2.4136136881999999</v>
      </c>
      <c r="M35" s="931">
        <v>0.41431651009999998</v>
      </c>
      <c r="O35" s="73" t="s">
        <v>352</v>
      </c>
      <c r="P35" s="63" t="s">
        <v>254</v>
      </c>
      <c r="Q35" s="73" t="s">
        <v>38</v>
      </c>
      <c r="R35" s="73" t="s">
        <v>497</v>
      </c>
      <c r="S35" s="73" t="s">
        <v>790</v>
      </c>
      <c r="T35" s="18" t="s">
        <v>89</v>
      </c>
    </row>
    <row r="36" spans="1:20" x14ac:dyDescent="0.25">
      <c r="A36" s="25"/>
      <c r="B36" s="580" t="s">
        <v>110</v>
      </c>
      <c r="C36" s="925" t="s">
        <v>521</v>
      </c>
      <c r="D36" s="526"/>
      <c r="E36" s="527"/>
      <c r="F36" s="18" t="s">
        <v>89</v>
      </c>
      <c r="G36" s="19"/>
      <c r="H36" s="19"/>
      <c r="I36" s="73" t="s">
        <v>232</v>
      </c>
      <c r="J36" s="64" t="s">
        <v>233</v>
      </c>
      <c r="K36" s="64" t="s">
        <v>378</v>
      </c>
      <c r="L36" s="930">
        <v>1.2959000000000001</v>
      </c>
      <c r="M36" s="931">
        <v>0.77166448030000001</v>
      </c>
      <c r="O36" s="73" t="s">
        <v>393</v>
      </c>
      <c r="P36" s="63" t="s">
        <v>262</v>
      </c>
      <c r="Q36" s="73" t="s">
        <v>49</v>
      </c>
      <c r="R36" s="73" t="s">
        <v>497</v>
      </c>
      <c r="S36" s="73" t="s">
        <v>791</v>
      </c>
      <c r="T36" s="18" t="s">
        <v>89</v>
      </c>
    </row>
    <row r="37" spans="1:20" x14ac:dyDescent="0.25">
      <c r="A37" s="18" t="s">
        <v>89</v>
      </c>
      <c r="B37" s="18" t="s">
        <v>89</v>
      </c>
      <c r="C37" s="18" t="s">
        <v>89</v>
      </c>
      <c r="D37" s="18" t="s">
        <v>89</v>
      </c>
      <c r="E37" s="18" t="s">
        <v>89</v>
      </c>
      <c r="F37" s="18" t="s">
        <v>89</v>
      </c>
      <c r="G37" s="19"/>
      <c r="H37" s="19"/>
      <c r="I37" s="73" t="s">
        <v>234</v>
      </c>
      <c r="J37" s="64" t="s">
        <v>235</v>
      </c>
      <c r="K37" s="64" t="s">
        <v>379</v>
      </c>
      <c r="L37" s="930">
        <v>1.3238914399999999</v>
      </c>
      <c r="M37" s="931">
        <v>0.7553489431</v>
      </c>
      <c r="O37" s="73" t="s">
        <v>398</v>
      </c>
      <c r="P37" s="63" t="s">
        <v>273</v>
      </c>
      <c r="Q37" s="73" t="s">
        <v>44</v>
      </c>
      <c r="R37" s="73" t="s">
        <v>497</v>
      </c>
      <c r="S37" s="73" t="s">
        <v>792</v>
      </c>
      <c r="T37" s="18" t="s">
        <v>89</v>
      </c>
    </row>
    <row r="38" spans="1:20" x14ac:dyDescent="0.25">
      <c r="F38" s="18" t="s">
        <v>89</v>
      </c>
      <c r="G38" s="19"/>
      <c r="H38" s="19"/>
      <c r="I38" s="73" t="s">
        <v>236</v>
      </c>
      <c r="J38" s="64" t="s">
        <v>237</v>
      </c>
      <c r="K38" s="64" t="s">
        <v>380</v>
      </c>
      <c r="L38" s="930">
        <v>1.2162669450000001</v>
      </c>
      <c r="M38" s="931">
        <v>0.8221879285</v>
      </c>
      <c r="O38" s="73" t="s">
        <v>453</v>
      </c>
      <c r="P38" s="63" t="s">
        <v>254</v>
      </c>
      <c r="Q38" s="73" t="s">
        <v>38</v>
      </c>
      <c r="R38" s="73" t="s">
        <v>497</v>
      </c>
      <c r="S38" s="73" t="s">
        <v>793</v>
      </c>
      <c r="T38" s="18" t="s">
        <v>89</v>
      </c>
    </row>
    <row r="39" spans="1:20" x14ac:dyDescent="0.25">
      <c r="F39" s="18" t="s">
        <v>89</v>
      </c>
      <c r="G39" s="19"/>
      <c r="H39" s="19"/>
      <c r="I39" s="73" t="s">
        <v>238</v>
      </c>
      <c r="J39" s="64" t="s">
        <v>239</v>
      </c>
      <c r="K39" s="64" t="s">
        <v>381</v>
      </c>
      <c r="L39" s="930">
        <v>673.15525500000001</v>
      </c>
      <c r="M39" s="931">
        <v>1.4855414000000001E-3</v>
      </c>
      <c r="O39" s="73" t="s">
        <v>74</v>
      </c>
      <c r="P39" s="63" t="s">
        <v>254</v>
      </c>
      <c r="Q39" s="73" t="s">
        <v>38</v>
      </c>
      <c r="R39" s="73" t="s">
        <v>497</v>
      </c>
      <c r="S39" s="73" t="s">
        <v>706</v>
      </c>
      <c r="T39" s="18" t="s">
        <v>89</v>
      </c>
    </row>
    <row r="40" spans="1:20" x14ac:dyDescent="0.25">
      <c r="F40" s="18" t="s">
        <v>89</v>
      </c>
      <c r="G40" s="19"/>
      <c r="H40" s="19"/>
      <c r="I40" s="73" t="s">
        <v>240</v>
      </c>
      <c r="J40" s="64" t="s">
        <v>241</v>
      </c>
      <c r="K40" s="64" t="s">
        <v>382</v>
      </c>
      <c r="L40" s="930">
        <v>8.1567834728000008</v>
      </c>
      <c r="M40" s="931">
        <v>0.12259734529999999</v>
      </c>
      <c r="O40" s="73" t="s">
        <v>408</v>
      </c>
      <c r="P40" s="63" t="s">
        <v>291</v>
      </c>
      <c r="Q40" s="73" t="s">
        <v>47</v>
      </c>
      <c r="R40" s="73" t="s">
        <v>497</v>
      </c>
      <c r="S40" s="73" t="s">
        <v>794</v>
      </c>
      <c r="T40" s="18" t="s">
        <v>89</v>
      </c>
    </row>
    <row r="41" spans="1:20" x14ac:dyDescent="0.25">
      <c r="F41" s="18" t="s">
        <v>89</v>
      </c>
      <c r="G41" s="19"/>
      <c r="H41" s="19"/>
      <c r="I41" s="73" t="s">
        <v>242</v>
      </c>
      <c r="J41" s="64" t="s">
        <v>243</v>
      </c>
      <c r="K41" s="64" t="s">
        <v>383</v>
      </c>
      <c r="L41" s="930">
        <v>2511.4542000000001</v>
      </c>
      <c r="M41" s="931">
        <v>3.9817569999999998E-4</v>
      </c>
      <c r="O41" s="73" t="s">
        <v>380</v>
      </c>
      <c r="P41" s="63" t="s">
        <v>237</v>
      </c>
      <c r="Q41" s="73" t="s">
        <v>236</v>
      </c>
      <c r="R41" s="73" t="s">
        <v>497</v>
      </c>
      <c r="S41" s="73" t="s">
        <v>795</v>
      </c>
      <c r="T41" s="18" t="s">
        <v>89</v>
      </c>
    </row>
    <row r="42" spans="1:20" x14ac:dyDescent="0.25">
      <c r="F42" s="18" t="s">
        <v>89</v>
      </c>
      <c r="G42" s="19"/>
      <c r="H42" s="19"/>
      <c r="I42" s="73" t="s">
        <v>244</v>
      </c>
      <c r="J42" s="64" t="s">
        <v>245</v>
      </c>
      <c r="K42" s="64" t="s">
        <v>384</v>
      </c>
      <c r="L42" s="930">
        <v>654.04074581910004</v>
      </c>
      <c r="M42" s="931">
        <v>1.5289567E-3</v>
      </c>
      <c r="O42" s="73" t="s">
        <v>407</v>
      </c>
      <c r="P42" s="63" t="s">
        <v>290</v>
      </c>
      <c r="Q42" s="73" t="s">
        <v>50</v>
      </c>
      <c r="R42" s="73" t="s">
        <v>497</v>
      </c>
      <c r="S42" s="73" t="s">
        <v>796</v>
      </c>
      <c r="T42" s="18" t="s">
        <v>89</v>
      </c>
    </row>
    <row r="43" spans="1:20" x14ac:dyDescent="0.25">
      <c r="F43" s="18" t="s">
        <v>89</v>
      </c>
      <c r="G43" s="19"/>
      <c r="H43" s="19"/>
      <c r="I43" s="73" t="s">
        <v>43</v>
      </c>
      <c r="J43" s="64" t="s">
        <v>246</v>
      </c>
      <c r="K43" s="64" t="s">
        <v>385</v>
      </c>
      <c r="L43" s="930">
        <v>25.60244835</v>
      </c>
      <c r="M43" s="931">
        <v>3.9058764500000002E-2</v>
      </c>
      <c r="O43" s="73" t="s">
        <v>353</v>
      </c>
      <c r="P43" s="63" t="s">
        <v>254</v>
      </c>
      <c r="Q43" s="73" t="s">
        <v>38</v>
      </c>
      <c r="R43" s="73" t="s">
        <v>497</v>
      </c>
      <c r="S43" s="73" t="s">
        <v>797</v>
      </c>
      <c r="T43" s="18" t="s">
        <v>89</v>
      </c>
    </row>
    <row r="44" spans="1:20" x14ac:dyDescent="0.25">
      <c r="F44" s="18" t="s">
        <v>89</v>
      </c>
      <c r="G44" s="19"/>
      <c r="H44" s="19"/>
      <c r="I44" s="73" t="s">
        <v>48</v>
      </c>
      <c r="J44" s="64" t="s">
        <v>247</v>
      </c>
      <c r="K44" s="64" t="s">
        <v>386</v>
      </c>
      <c r="L44" s="930">
        <v>7.4280987999999999</v>
      </c>
      <c r="M44" s="931">
        <v>0.1346239498</v>
      </c>
      <c r="O44" s="73" t="s">
        <v>354</v>
      </c>
      <c r="P44" s="63" t="s">
        <v>254</v>
      </c>
      <c r="Q44" s="73" t="s">
        <v>38</v>
      </c>
      <c r="R44" s="73" t="s">
        <v>497</v>
      </c>
      <c r="S44" s="73" t="s">
        <v>798</v>
      </c>
      <c r="T44" s="18" t="s">
        <v>89</v>
      </c>
    </row>
    <row r="45" spans="1:20" x14ac:dyDescent="0.25">
      <c r="F45" s="18" t="s">
        <v>89</v>
      </c>
      <c r="G45" s="19"/>
      <c r="H45" s="19"/>
      <c r="I45" s="73" t="s">
        <v>248</v>
      </c>
      <c r="J45" s="64" t="s">
        <v>249</v>
      </c>
      <c r="K45" s="64" t="s">
        <v>387</v>
      </c>
      <c r="L45" s="930">
        <v>49.892150000000001</v>
      </c>
      <c r="M45" s="931">
        <v>2.0043233300000001E-2</v>
      </c>
      <c r="O45" s="73" t="s">
        <v>355</v>
      </c>
      <c r="P45" s="63" t="s">
        <v>254</v>
      </c>
      <c r="Q45" s="73" t="s">
        <v>38</v>
      </c>
      <c r="R45" s="73" t="s">
        <v>497</v>
      </c>
      <c r="S45" s="73" t="s">
        <v>799</v>
      </c>
      <c r="T45" s="18" t="s">
        <v>89</v>
      </c>
    </row>
    <row r="46" spans="1:20" x14ac:dyDescent="0.25">
      <c r="F46" s="18" t="s">
        <v>89</v>
      </c>
      <c r="G46" s="19"/>
      <c r="H46" s="19"/>
      <c r="I46" s="73" t="s">
        <v>250</v>
      </c>
      <c r="J46" s="64" t="s">
        <v>251</v>
      </c>
      <c r="K46" s="64" t="s">
        <v>388</v>
      </c>
      <c r="L46" s="930">
        <v>95.766391378600005</v>
      </c>
      <c r="M46" s="931">
        <v>1.04420767E-2</v>
      </c>
      <c r="O46" s="73" t="s">
        <v>413</v>
      </c>
      <c r="P46" s="63" t="s">
        <v>300</v>
      </c>
      <c r="Q46" s="73" t="s">
        <v>40</v>
      </c>
      <c r="R46" s="73" t="s">
        <v>497</v>
      </c>
      <c r="S46" s="73" t="s">
        <v>800</v>
      </c>
      <c r="T46" s="18" t="s">
        <v>89</v>
      </c>
    </row>
    <row r="47" spans="1:20" x14ac:dyDescent="0.25">
      <c r="F47" s="18" t="s">
        <v>89</v>
      </c>
      <c r="G47" s="19"/>
      <c r="H47" s="19"/>
      <c r="I47" s="73" t="s">
        <v>252</v>
      </c>
      <c r="J47" s="64" t="s">
        <v>253</v>
      </c>
      <c r="K47" s="64" t="s">
        <v>389</v>
      </c>
      <c r="L47" s="930">
        <v>7.8129808478999996</v>
      </c>
      <c r="M47" s="931">
        <v>0.12799212230000001</v>
      </c>
      <c r="O47" s="73" t="s">
        <v>418</v>
      </c>
      <c r="P47" s="63" t="s">
        <v>311</v>
      </c>
      <c r="Q47" s="73" t="s">
        <v>46</v>
      </c>
      <c r="R47" s="73" t="s">
        <v>497</v>
      </c>
      <c r="S47" s="73" t="s">
        <v>801</v>
      </c>
      <c r="T47" s="18" t="s">
        <v>89</v>
      </c>
    </row>
    <row r="48" spans="1:20" x14ac:dyDescent="0.25">
      <c r="F48" s="18" t="s">
        <v>89</v>
      </c>
      <c r="G48" s="19"/>
      <c r="H48" s="19"/>
      <c r="I48" s="73" t="s">
        <v>38</v>
      </c>
      <c r="J48" s="64" t="s">
        <v>254</v>
      </c>
      <c r="K48" s="64" t="s">
        <v>431</v>
      </c>
      <c r="L48" s="930">
        <v>1</v>
      </c>
      <c r="M48" s="931">
        <v>1</v>
      </c>
      <c r="O48" s="73" t="s">
        <v>356</v>
      </c>
      <c r="P48" s="63" t="s">
        <v>254</v>
      </c>
      <c r="Q48" s="73" t="s">
        <v>38</v>
      </c>
      <c r="R48" s="73" t="s">
        <v>497</v>
      </c>
      <c r="S48" s="73" t="s">
        <v>802</v>
      </c>
      <c r="T48" s="18" t="s">
        <v>89</v>
      </c>
    </row>
    <row r="49" spans="6:20" x14ac:dyDescent="0.25">
      <c r="F49" s="18" t="s">
        <v>89</v>
      </c>
      <c r="I49" s="73" t="s">
        <v>255</v>
      </c>
      <c r="J49" s="64" t="s">
        <v>256</v>
      </c>
      <c r="K49" s="64" t="s">
        <v>390</v>
      </c>
      <c r="L49" s="930">
        <v>2.3591844165000002</v>
      </c>
      <c r="M49" s="931">
        <v>0.42387529899999998</v>
      </c>
      <c r="O49" s="73" t="s">
        <v>420</v>
      </c>
      <c r="P49" s="63" t="s">
        <v>314</v>
      </c>
      <c r="Q49" s="73" t="s">
        <v>51</v>
      </c>
      <c r="R49" s="73" t="s">
        <v>497</v>
      </c>
      <c r="S49" s="73" t="s">
        <v>803</v>
      </c>
      <c r="T49" s="18" t="s">
        <v>89</v>
      </c>
    </row>
    <row r="50" spans="6:20" x14ac:dyDescent="0.25">
      <c r="F50" s="18" t="s">
        <v>89</v>
      </c>
      <c r="I50" s="73" t="s">
        <v>39</v>
      </c>
      <c r="J50" s="64" t="s">
        <v>257</v>
      </c>
      <c r="K50" s="64" t="s">
        <v>359</v>
      </c>
      <c r="L50" s="930">
        <v>0.83479885340000004</v>
      </c>
      <c r="M50" s="931">
        <v>1.197893356</v>
      </c>
      <c r="O50" s="73" t="s">
        <v>357</v>
      </c>
      <c r="P50" s="63" t="s">
        <v>254</v>
      </c>
      <c r="Q50" s="73" t="s">
        <v>38</v>
      </c>
      <c r="R50" s="73" t="s">
        <v>497</v>
      </c>
      <c r="S50" s="73" t="s">
        <v>804</v>
      </c>
      <c r="T50" s="18" t="s">
        <v>89</v>
      </c>
    </row>
    <row r="51" spans="6:20" x14ac:dyDescent="0.25">
      <c r="F51" s="18" t="s">
        <v>89</v>
      </c>
      <c r="I51" s="73" t="s">
        <v>258</v>
      </c>
      <c r="J51" s="64" t="s">
        <v>259</v>
      </c>
      <c r="K51" s="64" t="s">
        <v>391</v>
      </c>
      <c r="L51" s="930">
        <v>10.066680789999999</v>
      </c>
      <c r="M51" s="931">
        <v>9.9337608999999993E-2</v>
      </c>
      <c r="O51" s="73" t="s">
        <v>358</v>
      </c>
      <c r="P51" s="63" t="s">
        <v>254</v>
      </c>
      <c r="Q51" s="73" t="s">
        <v>38</v>
      </c>
      <c r="R51" s="73" t="s">
        <v>497</v>
      </c>
      <c r="S51" s="73" t="s">
        <v>696</v>
      </c>
      <c r="T51" s="18" t="s">
        <v>89</v>
      </c>
    </row>
    <row r="52" spans="6:20" x14ac:dyDescent="0.25">
      <c r="F52" s="18" t="s">
        <v>89</v>
      </c>
      <c r="I52" s="73" t="s">
        <v>260</v>
      </c>
      <c r="J52" s="64" t="s">
        <v>261</v>
      </c>
      <c r="K52" s="64" t="s">
        <v>392</v>
      </c>
      <c r="L52" s="930">
        <v>7.5395462000000002</v>
      </c>
      <c r="M52" s="931">
        <v>0.13263397739999999</v>
      </c>
      <c r="O52" s="73" t="s">
        <v>451</v>
      </c>
      <c r="P52" s="63" t="s">
        <v>254</v>
      </c>
      <c r="Q52" s="73" t="s">
        <v>38</v>
      </c>
      <c r="R52" s="73" t="s">
        <v>497</v>
      </c>
      <c r="S52" s="73" t="s">
        <v>805</v>
      </c>
      <c r="T52" s="18" t="s">
        <v>89</v>
      </c>
    </row>
    <row r="53" spans="6:20" x14ac:dyDescent="0.25">
      <c r="F53" s="18" t="s">
        <v>89</v>
      </c>
      <c r="I53" s="73" t="s">
        <v>49</v>
      </c>
      <c r="J53" s="64" t="s">
        <v>262</v>
      </c>
      <c r="K53" s="64" t="s">
        <v>393</v>
      </c>
      <c r="L53" s="1012">
        <v>296.91000000000003</v>
      </c>
      <c r="M53" s="931">
        <v>3.1762929000000001E-3</v>
      </c>
      <c r="O53" s="73" t="s">
        <v>423</v>
      </c>
      <c r="P53" s="63" t="s">
        <v>321</v>
      </c>
      <c r="Q53" s="73" t="s">
        <v>45</v>
      </c>
      <c r="R53" s="73" t="s">
        <v>497</v>
      </c>
      <c r="S53" s="73" t="s">
        <v>806</v>
      </c>
      <c r="T53" s="18" t="s">
        <v>89</v>
      </c>
    </row>
    <row r="54" spans="6:20" x14ac:dyDescent="0.25">
      <c r="F54" s="18" t="s">
        <v>89</v>
      </c>
      <c r="I54" s="73" t="s">
        <v>263</v>
      </c>
      <c r="J54" s="64" t="s">
        <v>264</v>
      </c>
      <c r="K54" s="64" t="s">
        <v>394</v>
      </c>
      <c r="L54" s="930">
        <v>11753.813</v>
      </c>
      <c r="M54" s="931">
        <v>8.5078800000000003E-5</v>
      </c>
      <c r="O54" s="73" t="s">
        <v>359</v>
      </c>
      <c r="P54" s="63" t="s">
        <v>257</v>
      </c>
      <c r="Q54" s="73" t="s">
        <v>39</v>
      </c>
      <c r="R54" s="73" t="s">
        <v>497</v>
      </c>
      <c r="S54" s="73" t="s">
        <v>807</v>
      </c>
      <c r="T54" s="18" t="s">
        <v>89</v>
      </c>
    </row>
    <row r="55" spans="6:20" x14ac:dyDescent="0.25">
      <c r="F55" s="18" t="s">
        <v>89</v>
      </c>
      <c r="I55" s="73" t="s">
        <v>265</v>
      </c>
      <c r="J55" s="64" t="s">
        <v>266</v>
      </c>
      <c r="K55" s="64" t="s">
        <v>395</v>
      </c>
      <c r="L55" s="930">
        <v>4.9496900500000001</v>
      </c>
      <c r="M55" s="931">
        <v>0.2020328525</v>
      </c>
      <c r="O55" s="73" t="s">
        <v>368</v>
      </c>
      <c r="P55" s="63" t="s">
        <v>214</v>
      </c>
      <c r="Q55" s="73" t="s">
        <v>213</v>
      </c>
      <c r="R55" s="73" t="s">
        <v>496</v>
      </c>
      <c r="S55" s="73"/>
      <c r="T55" s="18" t="s">
        <v>89</v>
      </c>
    </row>
    <row r="56" spans="6:20" x14ac:dyDescent="0.25">
      <c r="F56" s="18" t="s">
        <v>89</v>
      </c>
      <c r="I56" s="73" t="s">
        <v>267</v>
      </c>
      <c r="J56" s="64" t="s">
        <v>268</v>
      </c>
      <c r="K56" s="64" t="s">
        <v>360</v>
      </c>
      <c r="L56" s="930">
        <v>68.760507626600003</v>
      </c>
      <c r="M56" s="931">
        <v>1.45432318E-2</v>
      </c>
      <c r="O56" s="73" t="s">
        <v>369</v>
      </c>
      <c r="P56" s="63" t="s">
        <v>216</v>
      </c>
      <c r="Q56" s="73" t="s">
        <v>215</v>
      </c>
      <c r="R56" s="73" t="s">
        <v>496</v>
      </c>
      <c r="S56" s="73"/>
      <c r="T56" s="18" t="s">
        <v>89</v>
      </c>
    </row>
    <row r="57" spans="6:20" x14ac:dyDescent="0.25">
      <c r="F57" s="18" t="s">
        <v>89</v>
      </c>
      <c r="I57" s="73" t="s">
        <v>269</v>
      </c>
      <c r="J57" s="64" t="s">
        <v>270</v>
      </c>
      <c r="K57" s="64" t="s">
        <v>396</v>
      </c>
      <c r="L57" s="930">
        <v>1515.5550499999999</v>
      </c>
      <c r="M57" s="931">
        <v>6.5982430000000004E-4</v>
      </c>
      <c r="O57" s="73" t="s">
        <v>388</v>
      </c>
      <c r="P57" s="63" t="s">
        <v>251</v>
      </c>
      <c r="Q57" s="73" t="s">
        <v>250</v>
      </c>
      <c r="R57" s="73" t="s">
        <v>496</v>
      </c>
      <c r="S57" s="73"/>
      <c r="T57" s="18" t="s">
        <v>89</v>
      </c>
    </row>
    <row r="58" spans="6:20" x14ac:dyDescent="0.25">
      <c r="F58" s="18" t="s">
        <v>89</v>
      </c>
      <c r="I58" s="73" t="s">
        <v>271</v>
      </c>
      <c r="J58" s="64" t="s">
        <v>272</v>
      </c>
      <c r="K58" s="64" t="s">
        <v>397</v>
      </c>
      <c r="L58" s="930">
        <v>14416.887500000001</v>
      </c>
      <c r="M58" s="931">
        <v>6.93631E-5</v>
      </c>
      <c r="O58" s="73" t="s">
        <v>370</v>
      </c>
      <c r="P58" s="63" t="s">
        <v>218</v>
      </c>
      <c r="Q58" s="73" t="s">
        <v>217</v>
      </c>
      <c r="R58" s="73" t="s">
        <v>496</v>
      </c>
      <c r="S58" s="73"/>
      <c r="T58" s="18" t="s">
        <v>89</v>
      </c>
    </row>
    <row r="59" spans="6:20" x14ac:dyDescent="0.25">
      <c r="F59" s="18" t="s">
        <v>89</v>
      </c>
      <c r="I59" s="73" t="s">
        <v>44</v>
      </c>
      <c r="J59" s="64" t="s">
        <v>273</v>
      </c>
      <c r="K59" s="64" t="s">
        <v>398</v>
      </c>
      <c r="L59" s="930">
        <v>158.64407562709999</v>
      </c>
      <c r="M59" s="931">
        <v>6.3034184999999996E-3</v>
      </c>
      <c r="O59" s="73" t="s">
        <v>371</v>
      </c>
      <c r="P59" s="63" t="s">
        <v>220</v>
      </c>
      <c r="Q59" s="73" t="s">
        <v>219</v>
      </c>
      <c r="R59" s="73" t="s">
        <v>496</v>
      </c>
      <c r="S59" s="73"/>
      <c r="T59" s="18" t="s">
        <v>89</v>
      </c>
    </row>
    <row r="60" spans="6:20" x14ac:dyDescent="0.25">
      <c r="F60" s="18" t="s">
        <v>89</v>
      </c>
      <c r="I60" s="73" t="s">
        <v>274</v>
      </c>
      <c r="J60" s="64" t="s">
        <v>275</v>
      </c>
      <c r="K60" s="64" t="s">
        <v>399</v>
      </c>
      <c r="L60" s="930">
        <v>110.8642489548</v>
      </c>
      <c r="M60" s="931">
        <v>9.0200404000000001E-3</v>
      </c>
      <c r="O60" s="73" t="s">
        <v>378</v>
      </c>
      <c r="P60" s="63" t="s">
        <v>233</v>
      </c>
      <c r="Q60" s="73" t="s">
        <v>232</v>
      </c>
      <c r="R60" s="73" t="s">
        <v>496</v>
      </c>
      <c r="S60" s="73"/>
      <c r="T60" s="18" t="s">
        <v>89</v>
      </c>
    </row>
    <row r="61" spans="6:20" x14ac:dyDescent="0.25">
      <c r="F61" s="18" t="s">
        <v>89</v>
      </c>
      <c r="I61" s="73" t="s">
        <v>276</v>
      </c>
      <c r="J61" s="64" t="s">
        <v>277</v>
      </c>
      <c r="K61" s="64" t="s">
        <v>400</v>
      </c>
      <c r="L61" s="930">
        <v>0.91879806480000004</v>
      </c>
      <c r="M61" s="931">
        <v>1.0883784352000001</v>
      </c>
      <c r="O61" s="73" t="s">
        <v>375</v>
      </c>
      <c r="P61" s="63" t="s">
        <v>227</v>
      </c>
      <c r="Q61" s="73" t="s">
        <v>226</v>
      </c>
      <c r="R61" s="73" t="s">
        <v>496</v>
      </c>
      <c r="S61" s="73"/>
      <c r="T61" s="18" t="s">
        <v>89</v>
      </c>
    </row>
    <row r="62" spans="6:20" x14ac:dyDescent="0.25">
      <c r="F62" s="18" t="s">
        <v>89</v>
      </c>
      <c r="I62" s="73" t="s">
        <v>278</v>
      </c>
      <c r="J62" s="64" t="s">
        <v>279</v>
      </c>
      <c r="K62" s="64" t="s">
        <v>401</v>
      </c>
      <c r="L62" s="930">
        <v>99.933328500000002</v>
      </c>
      <c r="M62" s="931">
        <v>1.0006671599999999E-2</v>
      </c>
      <c r="O62" s="73" t="s">
        <v>373</v>
      </c>
      <c r="P62" s="63" t="s">
        <v>224</v>
      </c>
      <c r="Q62" s="73" t="s">
        <v>223</v>
      </c>
      <c r="R62" s="73" t="s">
        <v>496</v>
      </c>
      <c r="S62" s="73"/>
      <c r="T62" s="18" t="s">
        <v>89</v>
      </c>
    </row>
    <row r="63" spans="6:20" x14ac:dyDescent="0.25">
      <c r="F63" s="18" t="s">
        <v>89</v>
      </c>
      <c r="I63" s="73" t="s">
        <v>280</v>
      </c>
      <c r="J63" s="64" t="s">
        <v>281</v>
      </c>
      <c r="K63" s="64" t="s">
        <v>402</v>
      </c>
      <c r="L63" s="930">
        <v>110.0867010452</v>
      </c>
      <c r="M63" s="931">
        <v>9.0837494000000005E-3</v>
      </c>
      <c r="O63" s="73" t="s">
        <v>372</v>
      </c>
      <c r="P63" s="63" t="s">
        <v>222</v>
      </c>
      <c r="Q63" s="73" t="s">
        <v>221</v>
      </c>
      <c r="R63" s="73" t="s">
        <v>496</v>
      </c>
      <c r="S63" s="73"/>
      <c r="T63" s="18" t="s">
        <v>89</v>
      </c>
    </row>
    <row r="64" spans="6:20" x14ac:dyDescent="0.25">
      <c r="F64" s="18" t="s">
        <v>89</v>
      </c>
      <c r="I64" s="73" t="s">
        <v>282</v>
      </c>
      <c r="J64" s="64" t="s">
        <v>283</v>
      </c>
      <c r="K64" s="64" t="s">
        <v>403</v>
      </c>
      <c r="L64" s="930">
        <v>1500.7817583618</v>
      </c>
      <c r="M64" s="931">
        <v>6.6631939999999999E-4</v>
      </c>
      <c r="O64" s="73" t="s">
        <v>376</v>
      </c>
      <c r="P64" s="63" t="s">
        <v>229</v>
      </c>
      <c r="Q64" s="73" t="s">
        <v>228</v>
      </c>
      <c r="R64" s="73" t="s">
        <v>496</v>
      </c>
      <c r="S64" s="73"/>
      <c r="T64" s="18" t="s">
        <v>89</v>
      </c>
    </row>
    <row r="65" spans="6:20" x14ac:dyDescent="0.25">
      <c r="F65" s="18" t="s">
        <v>89</v>
      </c>
      <c r="I65" s="73" t="s">
        <v>284</v>
      </c>
      <c r="J65" s="64" t="s">
        <v>285</v>
      </c>
      <c r="K65" s="64" t="s">
        <v>404</v>
      </c>
      <c r="L65" s="930">
        <v>0.3607172427</v>
      </c>
      <c r="M65" s="931">
        <v>2.7722545021</v>
      </c>
      <c r="O65" s="73" t="s">
        <v>377</v>
      </c>
      <c r="P65" s="63" t="s">
        <v>231</v>
      </c>
      <c r="Q65" s="73" t="s">
        <v>230</v>
      </c>
      <c r="R65" s="73" t="s">
        <v>496</v>
      </c>
      <c r="S65" s="73"/>
      <c r="T65" s="18" t="s">
        <v>89</v>
      </c>
    </row>
    <row r="66" spans="6:20" x14ac:dyDescent="0.25">
      <c r="F66" s="18" t="s">
        <v>89</v>
      </c>
      <c r="I66" s="73" t="s">
        <v>286</v>
      </c>
      <c r="J66" s="64" t="s">
        <v>287</v>
      </c>
      <c r="K66" s="64" t="s">
        <v>405</v>
      </c>
      <c r="L66" s="930">
        <v>1949.068433792</v>
      </c>
      <c r="M66" s="931">
        <v>5.1306560000000004E-4</v>
      </c>
      <c r="O66" s="73" t="s">
        <v>379</v>
      </c>
      <c r="P66" s="63" t="s">
        <v>235</v>
      </c>
      <c r="Q66" s="73" t="s">
        <v>234</v>
      </c>
      <c r="R66" s="73" t="s">
        <v>496</v>
      </c>
      <c r="S66" s="73"/>
      <c r="T66" s="18" t="s">
        <v>89</v>
      </c>
    </row>
    <row r="67" spans="6:20" x14ac:dyDescent="0.25">
      <c r="F67" s="18" t="s">
        <v>89</v>
      </c>
      <c r="I67" s="73" t="s">
        <v>288</v>
      </c>
      <c r="J67" s="64" t="s">
        <v>289</v>
      </c>
      <c r="K67" s="64" t="s">
        <v>406</v>
      </c>
      <c r="L67" s="930">
        <v>149.45707408550001</v>
      </c>
      <c r="M67" s="931">
        <v>6.6908844000000004E-3</v>
      </c>
      <c r="O67" s="73" t="s">
        <v>381</v>
      </c>
      <c r="P67" s="63" t="s">
        <v>239</v>
      </c>
      <c r="Q67" s="73" t="s">
        <v>238</v>
      </c>
      <c r="R67" s="73" t="s">
        <v>496</v>
      </c>
      <c r="S67" s="73"/>
      <c r="T67" s="18" t="s">
        <v>89</v>
      </c>
    </row>
    <row r="68" spans="6:20" x14ac:dyDescent="0.25">
      <c r="F68" s="18" t="s">
        <v>89</v>
      </c>
      <c r="I68" s="73" t="s">
        <v>50</v>
      </c>
      <c r="J68" s="64" t="s">
        <v>290</v>
      </c>
      <c r="K68" s="64" t="s">
        <v>407</v>
      </c>
      <c r="L68" s="930">
        <v>3.4527999999999999</v>
      </c>
      <c r="M68" s="931">
        <v>0.28962001850000002</v>
      </c>
      <c r="O68" s="73" t="s">
        <v>382</v>
      </c>
      <c r="P68" s="63" t="s">
        <v>241</v>
      </c>
      <c r="Q68" s="73" t="s">
        <v>240</v>
      </c>
      <c r="R68" s="73" t="s">
        <v>496</v>
      </c>
      <c r="S68" s="73"/>
      <c r="T68" s="18" t="s">
        <v>89</v>
      </c>
    </row>
    <row r="69" spans="6:20" x14ac:dyDescent="0.25">
      <c r="F69" s="18" t="s">
        <v>89</v>
      </c>
      <c r="I69" s="73" t="s">
        <v>47</v>
      </c>
      <c r="J69" s="64" t="s">
        <v>291</v>
      </c>
      <c r="K69" s="64" t="s">
        <v>408</v>
      </c>
      <c r="L69" s="930">
        <v>0.69900846000000005</v>
      </c>
      <c r="M69" s="931">
        <v>1.4305978500000001</v>
      </c>
      <c r="O69" s="73" t="s">
        <v>383</v>
      </c>
      <c r="P69" s="63" t="s">
        <v>243</v>
      </c>
      <c r="Q69" s="73" t="s">
        <v>242</v>
      </c>
      <c r="R69" s="73" t="s">
        <v>496</v>
      </c>
      <c r="S69" s="73"/>
      <c r="T69" s="18" t="s">
        <v>89</v>
      </c>
    </row>
    <row r="70" spans="6:20" x14ac:dyDescent="0.25">
      <c r="F70" s="18" t="s">
        <v>89</v>
      </c>
      <c r="I70" s="73" t="s">
        <v>292</v>
      </c>
      <c r="J70" s="64" t="s">
        <v>293</v>
      </c>
      <c r="K70" s="64" t="s">
        <v>409</v>
      </c>
      <c r="L70" s="930">
        <v>11.1123425</v>
      </c>
      <c r="M70" s="931">
        <v>8.9990026900000006E-2</v>
      </c>
      <c r="O70" s="73" t="s">
        <v>384</v>
      </c>
      <c r="P70" s="63" t="s">
        <v>245</v>
      </c>
      <c r="Q70" s="73" t="s">
        <v>244</v>
      </c>
      <c r="R70" s="73" t="s">
        <v>496</v>
      </c>
      <c r="S70" s="73"/>
      <c r="T70" s="18" t="s">
        <v>89</v>
      </c>
    </row>
    <row r="71" spans="6:20" x14ac:dyDescent="0.25">
      <c r="F71" s="18" t="s">
        <v>89</v>
      </c>
      <c r="I71" s="73" t="s">
        <v>294</v>
      </c>
      <c r="J71" s="64" t="s">
        <v>295</v>
      </c>
      <c r="K71" s="64" t="s">
        <v>410</v>
      </c>
      <c r="L71" s="930">
        <v>37.451509505700002</v>
      </c>
      <c r="M71" s="931">
        <v>2.67011934E-2</v>
      </c>
      <c r="O71" s="73" t="s">
        <v>392</v>
      </c>
      <c r="P71" s="63" t="s">
        <v>261</v>
      </c>
      <c r="Q71" s="73" t="s">
        <v>260</v>
      </c>
      <c r="R71" s="73" t="s">
        <v>496</v>
      </c>
      <c r="S71" s="73"/>
      <c r="T71" s="18" t="s">
        <v>89</v>
      </c>
    </row>
    <row r="72" spans="6:20" x14ac:dyDescent="0.25">
      <c r="F72" s="18" t="s">
        <v>89</v>
      </c>
      <c r="I72" s="73" t="s">
        <v>296</v>
      </c>
      <c r="J72" s="64" t="s">
        <v>297</v>
      </c>
      <c r="K72" s="64" t="s">
        <v>411</v>
      </c>
      <c r="L72" s="930">
        <v>18.07482443</v>
      </c>
      <c r="M72" s="931">
        <v>5.5325572000000003E-2</v>
      </c>
      <c r="O72" s="73" t="s">
        <v>387</v>
      </c>
      <c r="P72" s="63" t="s">
        <v>249</v>
      </c>
      <c r="Q72" s="73" t="s">
        <v>248</v>
      </c>
      <c r="R72" s="73" t="s">
        <v>496</v>
      </c>
      <c r="S72" s="73"/>
      <c r="T72" s="18" t="s">
        <v>89</v>
      </c>
    </row>
    <row r="73" spans="6:20" x14ac:dyDescent="0.25">
      <c r="F73" s="18" t="s">
        <v>89</v>
      </c>
      <c r="I73" s="73" t="s">
        <v>298</v>
      </c>
      <c r="J73" s="64" t="s">
        <v>299</v>
      </c>
      <c r="K73" s="64" t="s">
        <v>412</v>
      </c>
      <c r="L73" s="930">
        <v>4.1067071000000004</v>
      </c>
      <c r="M73" s="931">
        <v>0.243504096</v>
      </c>
      <c r="O73" s="73" t="s">
        <v>389</v>
      </c>
      <c r="P73" s="63" t="s">
        <v>253</v>
      </c>
      <c r="Q73" s="73" t="s">
        <v>252</v>
      </c>
      <c r="R73" s="73" t="s">
        <v>496</v>
      </c>
      <c r="S73" s="73"/>
      <c r="T73" s="18" t="s">
        <v>89</v>
      </c>
    </row>
    <row r="74" spans="6:20" x14ac:dyDescent="0.25">
      <c r="F74" s="18" t="s">
        <v>89</v>
      </c>
      <c r="I74" s="73" t="s">
        <v>40</v>
      </c>
      <c r="J74" s="64" t="s">
        <v>300</v>
      </c>
      <c r="K74" s="64" t="s">
        <v>413</v>
      </c>
      <c r="L74" s="930">
        <v>7.7472141749999999</v>
      </c>
      <c r="M74" s="931">
        <v>0.1290786568</v>
      </c>
      <c r="O74" s="73" t="s">
        <v>390</v>
      </c>
      <c r="P74" s="63" t="s">
        <v>256</v>
      </c>
      <c r="Q74" s="73" t="s">
        <v>255</v>
      </c>
      <c r="R74" s="73" t="s">
        <v>496</v>
      </c>
      <c r="S74" s="73"/>
      <c r="T74" s="18" t="s">
        <v>89</v>
      </c>
    </row>
    <row r="75" spans="6:20" x14ac:dyDescent="0.25">
      <c r="F75" s="18" t="s">
        <v>89</v>
      </c>
      <c r="I75" s="73" t="s">
        <v>301</v>
      </c>
      <c r="J75" s="64" t="s">
        <v>302</v>
      </c>
      <c r="K75" s="64" t="s">
        <v>361</v>
      </c>
      <c r="L75" s="930">
        <v>1.6667524116000001</v>
      </c>
      <c r="M75" s="931">
        <v>0.59996913340000002</v>
      </c>
      <c r="O75" s="73" t="s">
        <v>391</v>
      </c>
      <c r="P75" s="63" t="s">
        <v>259</v>
      </c>
      <c r="Q75" s="73" t="s">
        <v>258</v>
      </c>
      <c r="R75" s="73" t="s">
        <v>496</v>
      </c>
      <c r="S75" s="73"/>
      <c r="T75" s="18" t="s">
        <v>89</v>
      </c>
    </row>
    <row r="76" spans="6:20" x14ac:dyDescent="0.25">
      <c r="F76" s="18" t="s">
        <v>89</v>
      </c>
      <c r="I76" s="73" t="s">
        <v>303</v>
      </c>
      <c r="J76" s="64" t="s">
        <v>304</v>
      </c>
      <c r="K76" s="64" t="s">
        <v>414</v>
      </c>
      <c r="L76" s="930">
        <v>0.49892173649999999</v>
      </c>
      <c r="M76" s="931">
        <v>2.0043223753000001</v>
      </c>
      <c r="O76" s="73" t="s">
        <v>360</v>
      </c>
      <c r="P76" s="63" t="s">
        <v>268</v>
      </c>
      <c r="Q76" s="73" t="s">
        <v>267</v>
      </c>
      <c r="R76" s="73" t="s">
        <v>496</v>
      </c>
      <c r="S76" s="73"/>
      <c r="T76" s="18" t="s">
        <v>89</v>
      </c>
    </row>
    <row r="77" spans="6:20" x14ac:dyDescent="0.25">
      <c r="F77" s="18" t="s">
        <v>89</v>
      </c>
      <c r="I77" s="73" t="s">
        <v>305</v>
      </c>
      <c r="J77" s="64" t="s">
        <v>306</v>
      </c>
      <c r="K77" s="64" t="s">
        <v>415</v>
      </c>
      <c r="L77" s="930">
        <v>3.4943943499999999</v>
      </c>
      <c r="M77" s="931">
        <v>0.28617262389999998</v>
      </c>
      <c r="O77" s="73" t="s">
        <v>394</v>
      </c>
      <c r="P77" s="63" t="s">
        <v>264</v>
      </c>
      <c r="Q77" s="73" t="s">
        <v>263</v>
      </c>
      <c r="R77" s="73" t="s">
        <v>496</v>
      </c>
      <c r="S77" s="73"/>
      <c r="T77" s="18" t="s">
        <v>89</v>
      </c>
    </row>
    <row r="78" spans="6:20" x14ac:dyDescent="0.25">
      <c r="F78" s="18" t="s">
        <v>89</v>
      </c>
      <c r="I78" s="73" t="s">
        <v>307</v>
      </c>
      <c r="J78" s="64" t="s">
        <v>308</v>
      </c>
      <c r="K78" s="64" t="s">
        <v>416</v>
      </c>
      <c r="L78" s="930">
        <v>56.760420000000003</v>
      </c>
      <c r="M78" s="931">
        <v>1.76179105E-2</v>
      </c>
      <c r="O78" s="73" t="s">
        <v>397</v>
      </c>
      <c r="P78" s="63" t="s">
        <v>272</v>
      </c>
      <c r="Q78" s="73" t="s">
        <v>271</v>
      </c>
      <c r="R78" s="73" t="s">
        <v>496</v>
      </c>
      <c r="S78" s="73"/>
      <c r="T78" s="18" t="s">
        <v>89</v>
      </c>
    </row>
    <row r="79" spans="6:20" x14ac:dyDescent="0.25">
      <c r="F79" s="18" t="s">
        <v>89</v>
      </c>
      <c r="I79" s="73" t="s">
        <v>309</v>
      </c>
      <c r="J79" s="64" t="s">
        <v>310</v>
      </c>
      <c r="K79" s="64" t="s">
        <v>417</v>
      </c>
      <c r="L79" s="930">
        <v>116.5663026669</v>
      </c>
      <c r="M79" s="931">
        <v>8.5788085999999996E-3</v>
      </c>
      <c r="O79" s="73" t="s">
        <v>396</v>
      </c>
      <c r="P79" s="63" t="s">
        <v>270</v>
      </c>
      <c r="Q79" s="73" t="s">
        <v>269</v>
      </c>
      <c r="R79" s="73" t="s">
        <v>496</v>
      </c>
      <c r="S79" s="73"/>
      <c r="T79" s="18" t="s">
        <v>89</v>
      </c>
    </row>
    <row r="80" spans="6:20" x14ac:dyDescent="0.25">
      <c r="F80" s="18" t="s">
        <v>89</v>
      </c>
      <c r="I80" s="73" t="s">
        <v>46</v>
      </c>
      <c r="J80" s="64" t="s">
        <v>311</v>
      </c>
      <c r="K80" s="64" t="s">
        <v>418</v>
      </c>
      <c r="L80" s="930">
        <v>4.4551098150000001</v>
      </c>
      <c r="M80" s="931">
        <v>0.22446135819999999</v>
      </c>
      <c r="O80" s="73" t="s">
        <v>395</v>
      </c>
      <c r="P80" s="63" t="s">
        <v>266</v>
      </c>
      <c r="Q80" s="73" t="s">
        <v>265</v>
      </c>
      <c r="R80" s="73" t="s">
        <v>496</v>
      </c>
      <c r="S80" s="73"/>
      <c r="T80" s="18" t="s">
        <v>89</v>
      </c>
    </row>
    <row r="81" spans="6:20" x14ac:dyDescent="0.25">
      <c r="F81" s="18" t="s">
        <v>89</v>
      </c>
      <c r="I81" s="73" t="s">
        <v>312</v>
      </c>
      <c r="J81" s="64" t="s">
        <v>313</v>
      </c>
      <c r="K81" s="64" t="s">
        <v>419</v>
      </c>
      <c r="L81" s="930">
        <v>4.7190243250000004</v>
      </c>
      <c r="M81" s="931">
        <v>0.2119082105</v>
      </c>
      <c r="O81" s="73" t="s">
        <v>399</v>
      </c>
      <c r="P81" s="63" t="s">
        <v>275</v>
      </c>
      <c r="Q81" s="73" t="s">
        <v>274</v>
      </c>
      <c r="R81" s="73" t="s">
        <v>496</v>
      </c>
      <c r="S81" s="73"/>
      <c r="T81" s="18" t="s">
        <v>89</v>
      </c>
    </row>
    <row r="82" spans="6:20" x14ac:dyDescent="0.25">
      <c r="F82" s="18" t="s">
        <v>89</v>
      </c>
      <c r="I82" s="73" t="s">
        <v>51</v>
      </c>
      <c r="J82" s="64" t="s">
        <v>314</v>
      </c>
      <c r="K82" s="64" t="s">
        <v>420</v>
      </c>
      <c r="L82" s="930">
        <v>4.3188459482999999</v>
      </c>
      <c r="M82" s="931">
        <v>0.23154333630000001</v>
      </c>
      <c r="O82" s="73" t="s">
        <v>401</v>
      </c>
      <c r="P82" s="63" t="s">
        <v>279</v>
      </c>
      <c r="Q82" s="73" t="s">
        <v>278</v>
      </c>
      <c r="R82" s="73" t="s">
        <v>496</v>
      </c>
      <c r="S82" s="73"/>
      <c r="T82" s="18" t="s">
        <v>89</v>
      </c>
    </row>
    <row r="83" spans="6:20" x14ac:dyDescent="0.25">
      <c r="F83" s="18" t="s">
        <v>89</v>
      </c>
      <c r="I83" s="73" t="s">
        <v>315</v>
      </c>
      <c r="J83" s="64" t="s">
        <v>316</v>
      </c>
      <c r="K83" s="64" t="s">
        <v>362</v>
      </c>
      <c r="L83" s="930">
        <v>41.468800000000002</v>
      </c>
      <c r="M83" s="931">
        <v>2.4114515E-2</v>
      </c>
      <c r="O83" s="73" t="s">
        <v>400</v>
      </c>
      <c r="P83" s="63" t="s">
        <v>277</v>
      </c>
      <c r="Q83" s="73" t="s">
        <v>276</v>
      </c>
      <c r="R83" s="73" t="s">
        <v>496</v>
      </c>
      <c r="S83" s="73"/>
      <c r="T83" s="18" t="s">
        <v>89</v>
      </c>
    </row>
    <row r="84" spans="6:20" x14ac:dyDescent="0.25">
      <c r="F84" s="18" t="s">
        <v>89</v>
      </c>
      <c r="I84" s="73" t="s">
        <v>317</v>
      </c>
      <c r="J84" s="64" t="s">
        <v>318</v>
      </c>
      <c r="K84" s="64" t="s">
        <v>421</v>
      </c>
      <c r="L84" s="930">
        <v>4.859948975</v>
      </c>
      <c r="M84" s="931">
        <v>0.20576347719999999</v>
      </c>
      <c r="O84" s="73" t="s">
        <v>402</v>
      </c>
      <c r="P84" s="63" t="s">
        <v>281</v>
      </c>
      <c r="Q84" s="73" t="s">
        <v>280</v>
      </c>
      <c r="R84" s="73" t="s">
        <v>496</v>
      </c>
      <c r="S84" s="73"/>
      <c r="T84" s="18" t="s">
        <v>89</v>
      </c>
    </row>
    <row r="85" spans="6:20" x14ac:dyDescent="0.25">
      <c r="F85" s="18" t="s">
        <v>89</v>
      </c>
      <c r="I85" s="73" t="s">
        <v>319</v>
      </c>
      <c r="J85" s="64" t="s">
        <v>320</v>
      </c>
      <c r="K85" s="64" t="s">
        <v>422</v>
      </c>
      <c r="L85" s="930">
        <v>3.4619968079999999</v>
      </c>
      <c r="M85" s="931">
        <v>0.28885064179999997</v>
      </c>
      <c r="O85" s="73" t="s">
        <v>403</v>
      </c>
      <c r="P85" s="63" t="s">
        <v>283</v>
      </c>
      <c r="Q85" s="73" t="s">
        <v>282</v>
      </c>
      <c r="R85" s="73" t="s">
        <v>496</v>
      </c>
      <c r="S85" s="73"/>
      <c r="T85" s="18" t="s">
        <v>89</v>
      </c>
    </row>
    <row r="86" spans="6:20" x14ac:dyDescent="0.25">
      <c r="F86" s="18" t="s">
        <v>89</v>
      </c>
      <c r="I86" s="73" t="s">
        <v>45</v>
      </c>
      <c r="J86" s="64" t="s">
        <v>321</v>
      </c>
      <c r="K86" s="64" t="s">
        <v>423</v>
      </c>
      <c r="L86" s="930">
        <v>8.94831909</v>
      </c>
      <c r="M86" s="931">
        <v>0.111752832</v>
      </c>
      <c r="O86" s="73" t="s">
        <v>404</v>
      </c>
      <c r="P86" s="63" t="s">
        <v>285</v>
      </c>
      <c r="Q86" s="73" t="s">
        <v>284</v>
      </c>
      <c r="R86" s="73" t="s">
        <v>496</v>
      </c>
      <c r="S86" s="73"/>
      <c r="T86" s="18" t="s">
        <v>89</v>
      </c>
    </row>
    <row r="87" spans="6:20" x14ac:dyDescent="0.25">
      <c r="F87" s="18" t="s">
        <v>89</v>
      </c>
      <c r="I87" s="73" t="s">
        <v>322</v>
      </c>
      <c r="J87" s="64" t="s">
        <v>323</v>
      </c>
      <c r="K87" s="64" t="s">
        <v>363</v>
      </c>
      <c r="L87" s="930">
        <v>1.6801343500000001</v>
      </c>
      <c r="M87" s="931">
        <v>0.59519049769999999</v>
      </c>
      <c r="O87" s="73" t="s">
        <v>405</v>
      </c>
      <c r="P87" s="63" t="s">
        <v>287</v>
      </c>
      <c r="Q87" s="73" t="s">
        <v>286</v>
      </c>
      <c r="R87" s="73" t="s">
        <v>496</v>
      </c>
      <c r="S87" s="73"/>
      <c r="T87" s="18" t="s">
        <v>89</v>
      </c>
    </row>
    <row r="88" spans="6:20" x14ac:dyDescent="0.25">
      <c r="F88" s="18" t="s">
        <v>89</v>
      </c>
      <c r="I88" s="73" t="s">
        <v>324</v>
      </c>
      <c r="J88" s="64" t="s">
        <v>325</v>
      </c>
      <c r="K88" s="64" t="s">
        <v>424</v>
      </c>
      <c r="L88" s="930">
        <v>40.879165499999999</v>
      </c>
      <c r="M88" s="931">
        <v>2.4462338899999998E-2</v>
      </c>
      <c r="O88" s="73" t="s">
        <v>412</v>
      </c>
      <c r="P88" s="63" t="s">
        <v>299</v>
      </c>
      <c r="Q88" s="73" t="s">
        <v>298</v>
      </c>
      <c r="R88" s="73" t="s">
        <v>496</v>
      </c>
      <c r="S88" s="73"/>
      <c r="T88" s="18" t="s">
        <v>89</v>
      </c>
    </row>
    <row r="89" spans="6:20" x14ac:dyDescent="0.25">
      <c r="F89" s="18" t="s">
        <v>89</v>
      </c>
      <c r="I89" s="73" t="s">
        <v>326</v>
      </c>
      <c r="J89" s="64" t="s">
        <v>327</v>
      </c>
      <c r="K89" s="64" t="s">
        <v>425</v>
      </c>
      <c r="L89" s="930">
        <v>1.9393143697999999</v>
      </c>
      <c r="M89" s="931">
        <v>0.51564615599999997</v>
      </c>
      <c r="O89" s="73" t="s">
        <v>410</v>
      </c>
      <c r="P89" s="63" t="s">
        <v>295</v>
      </c>
      <c r="Q89" s="73" t="s">
        <v>294</v>
      </c>
      <c r="R89" s="73" t="s">
        <v>496</v>
      </c>
      <c r="S89" s="73"/>
      <c r="T89" s="18" t="s">
        <v>89</v>
      </c>
    </row>
    <row r="90" spans="6:20" x14ac:dyDescent="0.25">
      <c r="F90" s="18" t="s">
        <v>89</v>
      </c>
      <c r="I90" s="73" t="s">
        <v>328</v>
      </c>
      <c r="J90" s="64" t="s">
        <v>329</v>
      </c>
      <c r="K90" s="64" t="s">
        <v>430</v>
      </c>
      <c r="L90" s="930">
        <v>2.4518428000000001</v>
      </c>
      <c r="M90" s="931">
        <v>0.40785649060000001</v>
      </c>
      <c r="O90" s="73" t="s">
        <v>411</v>
      </c>
      <c r="P90" s="63" t="s">
        <v>297</v>
      </c>
      <c r="Q90" s="73" t="s">
        <v>296</v>
      </c>
      <c r="R90" s="73" t="s">
        <v>496</v>
      </c>
      <c r="S90" s="73"/>
      <c r="T90" s="18" t="s">
        <v>89</v>
      </c>
    </row>
    <row r="91" spans="6:20" x14ac:dyDescent="0.25">
      <c r="F91" s="18" t="s">
        <v>89</v>
      </c>
      <c r="I91" s="73" t="s">
        <v>330</v>
      </c>
      <c r="J91" s="64" t="s">
        <v>331</v>
      </c>
      <c r="K91" s="64" t="s">
        <v>426</v>
      </c>
      <c r="L91" s="930">
        <v>8.2289648763999992</v>
      </c>
      <c r="M91" s="931">
        <v>0.1215219672</v>
      </c>
      <c r="O91" s="73" t="s">
        <v>409</v>
      </c>
      <c r="P91" s="63" t="s">
        <v>293</v>
      </c>
      <c r="Q91" s="73" t="s">
        <v>292</v>
      </c>
      <c r="R91" s="73" t="s">
        <v>496</v>
      </c>
      <c r="S91" s="73"/>
      <c r="T91" s="18" t="s">
        <v>89</v>
      </c>
    </row>
    <row r="92" spans="6:20" x14ac:dyDescent="0.25">
      <c r="F92" s="18" t="s">
        <v>89</v>
      </c>
      <c r="I92" s="73" t="s">
        <v>332</v>
      </c>
      <c r="J92" s="64" t="s">
        <v>333</v>
      </c>
      <c r="K92" s="64" t="s">
        <v>366</v>
      </c>
      <c r="L92" s="930">
        <v>39.233372005699998</v>
      </c>
      <c r="M92" s="931">
        <v>2.5488505000000002E-2</v>
      </c>
      <c r="O92" s="73" t="s">
        <v>361</v>
      </c>
      <c r="P92" s="63" t="s">
        <v>302</v>
      </c>
      <c r="Q92" s="73" t="s">
        <v>301</v>
      </c>
      <c r="R92" s="73" t="s">
        <v>496</v>
      </c>
      <c r="S92" s="73"/>
      <c r="T92" s="18" t="s">
        <v>89</v>
      </c>
    </row>
    <row r="93" spans="6:20" x14ac:dyDescent="0.25">
      <c r="F93" s="18" t="s">
        <v>89</v>
      </c>
      <c r="I93" s="73" t="s">
        <v>52</v>
      </c>
      <c r="J93" s="64" t="s">
        <v>334</v>
      </c>
      <c r="K93" s="64" t="s">
        <v>364</v>
      </c>
      <c r="L93" s="930">
        <v>1.2959000000000001</v>
      </c>
      <c r="M93" s="931">
        <v>0.77166448030000001</v>
      </c>
      <c r="O93" s="73" t="s">
        <v>414</v>
      </c>
      <c r="P93" s="63" t="s">
        <v>304</v>
      </c>
      <c r="Q93" s="73" t="s">
        <v>303</v>
      </c>
      <c r="R93" s="73" t="s">
        <v>496</v>
      </c>
      <c r="S93" s="73"/>
      <c r="T93" s="18" t="s">
        <v>89</v>
      </c>
    </row>
    <row r="94" spans="6:20" x14ac:dyDescent="0.25">
      <c r="F94" s="18" t="s">
        <v>89</v>
      </c>
      <c r="I94" s="73" t="s">
        <v>335</v>
      </c>
      <c r="J94" s="64" t="s">
        <v>336</v>
      </c>
      <c r="K94" s="64" t="s">
        <v>427</v>
      </c>
      <c r="L94" s="930">
        <v>5.5723700000000003</v>
      </c>
      <c r="M94" s="931">
        <v>0.17945685589999999</v>
      </c>
      <c r="O94" s="73" t="s">
        <v>417</v>
      </c>
      <c r="P94" s="63" t="s">
        <v>310</v>
      </c>
      <c r="Q94" s="73" t="s">
        <v>309</v>
      </c>
      <c r="R94" s="73" t="s">
        <v>496</v>
      </c>
      <c r="S94" s="73"/>
      <c r="T94" s="18" t="s">
        <v>89</v>
      </c>
    </row>
    <row r="95" spans="6:20" x14ac:dyDescent="0.25">
      <c r="F95" s="18" t="s">
        <v>89</v>
      </c>
      <c r="I95" s="73" t="s">
        <v>337</v>
      </c>
      <c r="J95" s="64" t="s">
        <v>338</v>
      </c>
      <c r="K95" s="64" t="s">
        <v>428</v>
      </c>
      <c r="L95" s="930">
        <v>27252.7770000001</v>
      </c>
      <c r="M95" s="931">
        <v>3.6693499999999997E-5</v>
      </c>
      <c r="O95" s="73" t="s">
        <v>415</v>
      </c>
      <c r="P95" s="63" t="s">
        <v>306</v>
      </c>
      <c r="Q95" s="73" t="s">
        <v>305</v>
      </c>
      <c r="R95" s="73" t="s">
        <v>496</v>
      </c>
      <c r="S95" s="73"/>
      <c r="T95" s="18" t="s">
        <v>89</v>
      </c>
    </row>
    <row r="96" spans="6:20" x14ac:dyDescent="0.25">
      <c r="F96" s="18" t="s">
        <v>89</v>
      </c>
      <c r="I96" s="73" t="s">
        <v>339</v>
      </c>
      <c r="J96" s="64" t="s">
        <v>340</v>
      </c>
      <c r="K96" s="64" t="s">
        <v>365</v>
      </c>
      <c r="L96" s="930">
        <v>10.471066385</v>
      </c>
      <c r="M96" s="931">
        <v>9.5501256800000003E-2</v>
      </c>
      <c r="O96" s="73" t="s">
        <v>416</v>
      </c>
      <c r="P96" s="63" t="s">
        <v>308</v>
      </c>
      <c r="Q96" s="73" t="s">
        <v>307</v>
      </c>
      <c r="R96" s="73" t="s">
        <v>496</v>
      </c>
      <c r="S96" s="73"/>
      <c r="T96" s="18" t="s">
        <v>89</v>
      </c>
    </row>
    <row r="97" spans="6:20" x14ac:dyDescent="0.25">
      <c r="F97" s="18" t="s">
        <v>89</v>
      </c>
      <c r="I97" s="74" t="s">
        <v>341</v>
      </c>
      <c r="J97" s="64" t="s">
        <v>342</v>
      </c>
      <c r="K97" s="64" t="s">
        <v>429</v>
      </c>
      <c r="L97" s="930">
        <v>6628.5285000000003</v>
      </c>
      <c r="M97" s="931">
        <v>1.50863E-4</v>
      </c>
      <c r="O97" s="73" t="s">
        <v>419</v>
      </c>
      <c r="P97" s="63" t="s">
        <v>313</v>
      </c>
      <c r="Q97" s="73" t="s">
        <v>312</v>
      </c>
      <c r="R97" s="73" t="s">
        <v>496</v>
      </c>
      <c r="S97" s="73"/>
      <c r="T97" s="18" t="s">
        <v>89</v>
      </c>
    </row>
    <row r="98" spans="6:20" x14ac:dyDescent="0.25">
      <c r="F98" s="18" t="s">
        <v>89</v>
      </c>
      <c r="O98" s="73" t="s">
        <v>362</v>
      </c>
      <c r="P98" s="63" t="s">
        <v>316</v>
      </c>
      <c r="Q98" s="73" t="s">
        <v>315</v>
      </c>
      <c r="R98" s="73" t="s">
        <v>496</v>
      </c>
      <c r="S98" s="73"/>
      <c r="T98" s="18" t="s">
        <v>89</v>
      </c>
    </row>
    <row r="99" spans="6:20" x14ac:dyDescent="0.25">
      <c r="F99" s="18" t="s">
        <v>89</v>
      </c>
      <c r="I99" s="300"/>
      <c r="J99" s="300"/>
      <c r="K99" s="300"/>
      <c r="L99" s="300"/>
      <c r="M99" s="300"/>
      <c r="O99" s="73" t="s">
        <v>421</v>
      </c>
      <c r="P99" s="63" t="s">
        <v>318</v>
      </c>
      <c r="Q99" s="73" t="s">
        <v>317</v>
      </c>
      <c r="R99" s="73" t="s">
        <v>496</v>
      </c>
      <c r="S99" s="73"/>
      <c r="T99" s="18" t="s">
        <v>89</v>
      </c>
    </row>
    <row r="100" spans="6:20" x14ac:dyDescent="0.25">
      <c r="F100" s="18" t="s">
        <v>89</v>
      </c>
      <c r="O100" s="73" t="s">
        <v>363</v>
      </c>
      <c r="P100" s="63" t="s">
        <v>323</v>
      </c>
      <c r="Q100" s="73" t="s">
        <v>322</v>
      </c>
      <c r="R100" s="73" t="s">
        <v>496</v>
      </c>
      <c r="S100" s="73"/>
      <c r="T100" s="18" t="s">
        <v>89</v>
      </c>
    </row>
    <row r="101" spans="6:20" x14ac:dyDescent="0.25">
      <c r="F101" s="18" t="s">
        <v>89</v>
      </c>
      <c r="O101" s="73" t="s">
        <v>365</v>
      </c>
      <c r="P101" s="63" t="s">
        <v>340</v>
      </c>
      <c r="Q101" s="73" t="s">
        <v>339</v>
      </c>
      <c r="R101" s="73" t="s">
        <v>496</v>
      </c>
      <c r="S101" s="73"/>
      <c r="T101" s="18" t="s">
        <v>89</v>
      </c>
    </row>
    <row r="102" spans="6:20" x14ac:dyDescent="0.25">
      <c r="F102" s="18" t="s">
        <v>89</v>
      </c>
      <c r="I102" s="68"/>
      <c r="J102" s="68"/>
      <c r="K102" s="68"/>
      <c r="O102" s="73" t="s">
        <v>406</v>
      </c>
      <c r="P102" s="63" t="s">
        <v>289</v>
      </c>
      <c r="Q102" s="73" t="s">
        <v>288</v>
      </c>
      <c r="R102" s="73" t="s">
        <v>496</v>
      </c>
      <c r="S102" s="73"/>
      <c r="T102" s="18" t="s">
        <v>89</v>
      </c>
    </row>
    <row r="103" spans="6:20" x14ac:dyDescent="0.25">
      <c r="F103" s="18" t="s">
        <v>89</v>
      </c>
      <c r="O103" s="73" t="s">
        <v>422</v>
      </c>
      <c r="P103" s="63" t="s">
        <v>320</v>
      </c>
      <c r="Q103" s="73" t="s">
        <v>319</v>
      </c>
      <c r="R103" s="73" t="s">
        <v>496</v>
      </c>
      <c r="S103" s="73"/>
      <c r="T103" s="18" t="s">
        <v>89</v>
      </c>
    </row>
    <row r="104" spans="6:20" x14ac:dyDescent="0.25">
      <c r="F104" s="18" t="s">
        <v>89</v>
      </c>
      <c r="O104" s="73" t="s">
        <v>454</v>
      </c>
      <c r="P104" s="63" t="s">
        <v>237</v>
      </c>
      <c r="Q104" s="73" t="s">
        <v>236</v>
      </c>
      <c r="R104" s="73" t="s">
        <v>496</v>
      </c>
      <c r="S104" s="73"/>
      <c r="T104" s="18" t="s">
        <v>89</v>
      </c>
    </row>
    <row r="105" spans="6:20" x14ac:dyDescent="0.25">
      <c r="F105" s="18" t="s">
        <v>89</v>
      </c>
      <c r="O105" s="73" t="s">
        <v>366</v>
      </c>
      <c r="P105" s="63" t="s">
        <v>333</v>
      </c>
      <c r="Q105" s="73" t="s">
        <v>332</v>
      </c>
      <c r="R105" s="73" t="s">
        <v>496</v>
      </c>
      <c r="S105" s="73"/>
      <c r="T105" s="18" t="s">
        <v>89</v>
      </c>
    </row>
    <row r="106" spans="6:20" x14ac:dyDescent="0.25">
      <c r="F106" s="18" t="s">
        <v>89</v>
      </c>
      <c r="O106" s="73" t="s">
        <v>424</v>
      </c>
      <c r="P106" s="63" t="s">
        <v>325</v>
      </c>
      <c r="Q106" s="73" t="s">
        <v>324</v>
      </c>
      <c r="R106" s="73" t="s">
        <v>496</v>
      </c>
      <c r="S106" s="73"/>
      <c r="T106" s="18" t="s">
        <v>89</v>
      </c>
    </row>
    <row r="107" spans="6:20" x14ac:dyDescent="0.25">
      <c r="F107" s="18" t="s">
        <v>89</v>
      </c>
      <c r="O107" s="73" t="s">
        <v>426</v>
      </c>
      <c r="P107" s="63" t="s">
        <v>331</v>
      </c>
      <c r="Q107" s="73" t="s">
        <v>330</v>
      </c>
      <c r="R107" s="73" t="s">
        <v>496</v>
      </c>
      <c r="S107" s="73"/>
      <c r="T107" s="18" t="s">
        <v>89</v>
      </c>
    </row>
    <row r="108" spans="6:20" x14ac:dyDescent="0.25">
      <c r="F108" s="18" t="s">
        <v>89</v>
      </c>
      <c r="O108" s="73" t="s">
        <v>425</v>
      </c>
      <c r="P108" s="63" t="s">
        <v>327</v>
      </c>
      <c r="Q108" s="73" t="s">
        <v>326</v>
      </c>
      <c r="R108" s="73" t="s">
        <v>496</v>
      </c>
      <c r="S108" s="73"/>
      <c r="T108" s="18" t="s">
        <v>89</v>
      </c>
    </row>
    <row r="109" spans="6:20" x14ac:dyDescent="0.25">
      <c r="F109" s="18" t="s">
        <v>89</v>
      </c>
      <c r="O109" s="73" t="s">
        <v>430</v>
      </c>
      <c r="P109" s="63" t="s">
        <v>329</v>
      </c>
      <c r="Q109" s="73" t="s">
        <v>328</v>
      </c>
      <c r="R109" s="73" t="s">
        <v>496</v>
      </c>
      <c r="S109" s="73"/>
      <c r="T109" s="18" t="s">
        <v>89</v>
      </c>
    </row>
    <row r="110" spans="6:20" x14ac:dyDescent="0.25">
      <c r="F110" s="18" t="s">
        <v>89</v>
      </c>
      <c r="O110" s="73" t="s">
        <v>367</v>
      </c>
      <c r="P110" s="63" t="s">
        <v>212</v>
      </c>
      <c r="Q110" s="73" t="s">
        <v>211</v>
      </c>
      <c r="R110" s="73" t="s">
        <v>496</v>
      </c>
      <c r="S110" s="73"/>
      <c r="T110" s="18" t="s">
        <v>89</v>
      </c>
    </row>
    <row r="111" spans="6:20" x14ac:dyDescent="0.25">
      <c r="F111" s="18" t="s">
        <v>89</v>
      </c>
      <c r="O111" s="73" t="s">
        <v>364</v>
      </c>
      <c r="P111" s="63" t="s">
        <v>334</v>
      </c>
      <c r="Q111" s="73" t="s">
        <v>52</v>
      </c>
      <c r="R111" s="73" t="s">
        <v>496</v>
      </c>
      <c r="S111" s="73"/>
      <c r="T111" s="18" t="s">
        <v>89</v>
      </c>
    </row>
    <row r="112" spans="6:20" x14ac:dyDescent="0.25">
      <c r="F112" s="18" t="s">
        <v>89</v>
      </c>
      <c r="O112" s="73" t="s">
        <v>427</v>
      </c>
      <c r="P112" s="63" t="s">
        <v>336</v>
      </c>
      <c r="Q112" s="73" t="s">
        <v>335</v>
      </c>
      <c r="R112" s="73" t="s">
        <v>496</v>
      </c>
      <c r="S112" s="73"/>
      <c r="T112" s="18" t="s">
        <v>89</v>
      </c>
    </row>
    <row r="113" spans="6:21" x14ac:dyDescent="0.25">
      <c r="F113" s="18" t="s">
        <v>89</v>
      </c>
      <c r="O113" s="73" t="s">
        <v>428</v>
      </c>
      <c r="P113" s="63" t="s">
        <v>338</v>
      </c>
      <c r="Q113" s="73" t="s">
        <v>337</v>
      </c>
      <c r="R113" s="73" t="s">
        <v>496</v>
      </c>
      <c r="S113" s="73"/>
      <c r="T113" s="18" t="s">
        <v>89</v>
      </c>
    </row>
    <row r="114" spans="6:21" x14ac:dyDescent="0.25">
      <c r="F114" s="18" t="s">
        <v>89</v>
      </c>
      <c r="O114" s="74" t="s">
        <v>429</v>
      </c>
      <c r="P114" s="65" t="s">
        <v>342</v>
      </c>
      <c r="Q114" s="74" t="s">
        <v>341</v>
      </c>
      <c r="R114" s="74" t="s">
        <v>496</v>
      </c>
      <c r="S114" s="74"/>
      <c r="T114" s="18" t="s">
        <v>89</v>
      </c>
    </row>
    <row r="115" spans="6:21" x14ac:dyDescent="0.25">
      <c r="F115" s="18" t="s">
        <v>89</v>
      </c>
      <c r="O115" s="73" t="s">
        <v>521</v>
      </c>
      <c r="T115" s="18" t="s">
        <v>89</v>
      </c>
    </row>
    <row r="116" spans="6:21" x14ac:dyDescent="0.25">
      <c r="F116" s="18" t="s">
        <v>89</v>
      </c>
      <c r="T116" s="18" t="s">
        <v>89</v>
      </c>
    </row>
    <row r="117" spans="6:21" x14ac:dyDescent="0.25">
      <c r="F117" s="18" t="s">
        <v>89</v>
      </c>
      <c r="G117" s="18" t="s">
        <v>89</v>
      </c>
      <c r="H117" s="18" t="s">
        <v>89</v>
      </c>
      <c r="I117" s="18" t="s">
        <v>89</v>
      </c>
      <c r="J117" s="18" t="s">
        <v>89</v>
      </c>
      <c r="K117" s="18" t="s">
        <v>89</v>
      </c>
      <c r="L117" s="18" t="s">
        <v>89</v>
      </c>
      <c r="M117" s="18" t="s">
        <v>89</v>
      </c>
      <c r="N117" s="18" t="s">
        <v>89</v>
      </c>
      <c r="O117" s="18" t="s">
        <v>89</v>
      </c>
      <c r="P117" s="18" t="s">
        <v>89</v>
      </c>
      <c r="Q117" s="18" t="s">
        <v>89</v>
      </c>
      <c r="R117" s="18" t="s">
        <v>89</v>
      </c>
      <c r="S117" s="18" t="s">
        <v>89</v>
      </c>
      <c r="T117" s="18" t="s">
        <v>89</v>
      </c>
      <c r="U117" s="402"/>
    </row>
  </sheetData>
  <mergeCells count="1">
    <mergeCell ref="C7:E7"/>
  </mergeCells>
  <conditionalFormatting sqref="C25 C21 C8 C10">
    <cfRule type="expression" dxfId="36" priority="9" stopIfTrue="1">
      <formula>_GroupReply</formula>
    </cfRule>
  </conditionalFormatting>
  <conditionalFormatting sqref="D23">
    <cfRule type="cellIs" dxfId="35" priority="6" stopIfTrue="1" operator="equal">
      <formula>0</formula>
    </cfRule>
  </conditionalFormatting>
  <conditionalFormatting sqref="C15">
    <cfRule type="expression" dxfId="34" priority="5" stopIfTrue="1">
      <formula>_GroupReply</formula>
    </cfRule>
  </conditionalFormatting>
  <conditionalFormatting sqref="C19">
    <cfRule type="expression" dxfId="33" priority="1" stopIfTrue="1">
      <formula>_GroupReply</formula>
    </cfRule>
  </conditionalFormatting>
  <conditionalFormatting sqref="C16">
    <cfRule type="expression" dxfId="32" priority="3" stopIfTrue="1">
      <formula>_GroupReply</formula>
    </cfRule>
  </conditionalFormatting>
  <conditionalFormatting sqref="C18">
    <cfRule type="expression" dxfId="31" priority="2" stopIfTrue="1">
      <formula>_GroupReply</formula>
    </cfRule>
  </conditionalFormatting>
  <dataValidations count="11">
    <dataValidation type="list" allowBlank="1" showInputMessage="1" showErrorMessage="1" sqref="C65488 IP65502">
      <formula1>"Life,Non-Life,Composite,Reinsurance,Captive"</formula1>
    </dataValidation>
    <dataValidation type="list" allowBlank="1" showInputMessage="1" showErrorMessage="1" sqref="C65506 C65500:C65503 C65489:C65492">
      <formula1>"No,Yes"</formula1>
    </dataValidation>
    <dataValidation allowBlank="1" showInputMessage="1" showErrorMessage="1" sqref="C65509:C65510 C65507 IP65523:IP65524"/>
    <dataValidation type="list" allowBlank="1" showInputMessage="1" showErrorMessage="1" sqref="C65496 C23 IP65510">
      <formula1>"Thousands,Millions"</formula1>
    </dataValidation>
    <dataValidation type="list" allowBlank="1" showInputMessage="1" showErrorMessage="1" sqref="C25">
      <formula1>_EEACountries</formula1>
    </dataValidation>
    <dataValidation type="list" allowBlank="1" showInputMessage="1" showErrorMessage="1" sqref="C13">
      <formula1>$I$2:$I$4</formula1>
    </dataValidation>
    <dataValidation type="list" allowBlank="1" showInputMessage="1" showErrorMessage="1" sqref="C14">
      <formula1>$G$2:$G$4</formula1>
    </dataValidation>
    <dataValidation type="list" allowBlank="1" showInputMessage="1" showErrorMessage="1" sqref="C17">
      <formula1>$H$2:$H$7</formula1>
    </dataValidation>
    <dataValidation type="list" allowBlank="1" showInputMessage="1" showErrorMessage="1" sqref="C15:C16 C18:C19 C10">
      <formula1>$L$2:$L$3</formula1>
    </dataValidation>
    <dataValidation type="list" allowBlank="1" showInputMessage="1" showErrorMessage="1" sqref="C22">
      <formula1>_ISO4217</formula1>
    </dataValidation>
    <dataValidation type="list" allowBlank="1" showInputMessage="1" showErrorMessage="1" sqref="C24">
      <formula1>_AllCountries</formula1>
    </dataValidation>
  </dataValidations>
  <pageMargins left="0.37" right="0.38" top="0.41" bottom="0.27" header="0.32" footer="0.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tabColor theme="9" tint="-0.249977111117893"/>
  </sheetPr>
  <dimension ref="A1:G37"/>
  <sheetViews>
    <sheetView workbookViewId="0">
      <selection activeCell="K21" sqref="K21"/>
    </sheetView>
  </sheetViews>
  <sheetFormatPr defaultRowHeight="15" x14ac:dyDescent="0.25"/>
  <cols>
    <col min="1" max="1" width="3.7109375" customWidth="1"/>
    <col min="2" max="5" width="15.7109375" style="1021" customWidth="1"/>
    <col min="7" max="7" width="2.7109375" customWidth="1"/>
  </cols>
  <sheetData>
    <row r="1" spans="1:7" ht="15.75" x14ac:dyDescent="0.25">
      <c r="A1" s="499" t="str">
        <f>Participant!$A$1</f>
        <v>&lt;Participant's name&gt;</v>
      </c>
      <c r="B1" s="1015"/>
      <c r="C1" s="1016"/>
      <c r="D1" s="1016"/>
      <c r="E1" s="1017"/>
      <c r="F1" s="485" t="str">
        <f>Participant!$E$1</f>
        <v>2013 - HUF (Thousands)</v>
      </c>
      <c r="G1" s="304" t="s">
        <v>89</v>
      </c>
    </row>
    <row r="2" spans="1:7" x14ac:dyDescent="0.25">
      <c r="A2" s="486" t="str">
        <f>Participant!$A$2</f>
        <v>-</v>
      </c>
      <c r="B2" s="1018"/>
      <c r="C2" s="1019"/>
      <c r="D2" s="1031" t="str">
        <f>P.Index!D8</f>
        <v>Hazai Állampapírok</v>
      </c>
      <c r="E2" s="1020"/>
      <c r="F2" s="492" t="str">
        <f>Version</f>
        <v>2013 12 31</v>
      </c>
      <c r="G2" s="304" t="s">
        <v>89</v>
      </c>
    </row>
    <row r="3" spans="1:7" ht="63.75" customHeight="1" x14ac:dyDescent="0.25">
      <c r="A3" s="1039" t="s">
        <v>1161</v>
      </c>
      <c r="B3" s="1039"/>
      <c r="C3" s="1039"/>
      <c r="D3" s="1039"/>
      <c r="E3" s="1039"/>
      <c r="F3" s="1040"/>
      <c r="G3" s="304" t="s">
        <v>89</v>
      </c>
    </row>
    <row r="4" spans="1:7" x14ac:dyDescent="0.25">
      <c r="A4" s="4"/>
      <c r="B4" s="1022"/>
      <c r="G4" s="304" t="s">
        <v>89</v>
      </c>
    </row>
    <row r="5" spans="1:7" x14ac:dyDescent="0.25">
      <c r="A5" s="1014"/>
      <c r="B5" s="1030" t="s">
        <v>1158</v>
      </c>
      <c r="C5" s="1011" t="s">
        <v>1154</v>
      </c>
      <c r="D5" s="1011" t="s">
        <v>1155</v>
      </c>
      <c r="E5" s="1030" t="s">
        <v>1159</v>
      </c>
      <c r="G5" s="304" t="s">
        <v>89</v>
      </c>
    </row>
    <row r="6" spans="1:7" x14ac:dyDescent="0.25">
      <c r="A6" s="528">
        <v>1</v>
      </c>
      <c r="B6" s="1023"/>
      <c r="C6" s="1023"/>
      <c r="D6" s="1023" t="s">
        <v>521</v>
      </c>
      <c r="E6" s="1023"/>
      <c r="G6" s="304" t="s">
        <v>89</v>
      </c>
    </row>
    <row r="7" spans="1:7" x14ac:dyDescent="0.25">
      <c r="A7" s="514">
        <v>2</v>
      </c>
      <c r="B7" s="1024"/>
      <c r="C7" s="1024"/>
      <c r="D7" s="1024" t="s">
        <v>521</v>
      </c>
      <c r="E7" s="1024"/>
      <c r="G7" s="304" t="s">
        <v>89</v>
      </c>
    </row>
    <row r="8" spans="1:7" x14ac:dyDescent="0.25">
      <c r="A8" s="514">
        <v>3</v>
      </c>
      <c r="B8" s="1024"/>
      <c r="C8" s="1024"/>
      <c r="D8" s="1024" t="s">
        <v>521</v>
      </c>
      <c r="E8" s="1024"/>
      <c r="G8" s="304" t="s">
        <v>89</v>
      </c>
    </row>
    <row r="9" spans="1:7" x14ac:dyDescent="0.25">
      <c r="A9" s="514">
        <v>4</v>
      </c>
      <c r="B9" s="1024"/>
      <c r="C9" s="1024"/>
      <c r="D9" s="1024" t="s">
        <v>521</v>
      </c>
      <c r="E9" s="1024"/>
      <c r="G9" s="304" t="s">
        <v>89</v>
      </c>
    </row>
    <row r="10" spans="1:7" x14ac:dyDescent="0.25">
      <c r="A10" s="514">
        <v>5</v>
      </c>
      <c r="B10" s="1024"/>
      <c r="C10" s="1024"/>
      <c r="D10" s="1024" t="s">
        <v>521</v>
      </c>
      <c r="E10" s="1024"/>
      <c r="G10" s="304" t="s">
        <v>89</v>
      </c>
    </row>
    <row r="11" spans="1:7" x14ac:dyDescent="0.25">
      <c r="A11" s="514">
        <v>6</v>
      </c>
      <c r="B11" s="1024"/>
      <c r="C11" s="1024"/>
      <c r="D11" s="1024" t="s">
        <v>521</v>
      </c>
      <c r="E11" s="1024"/>
      <c r="G11" s="304" t="s">
        <v>89</v>
      </c>
    </row>
    <row r="12" spans="1:7" x14ac:dyDescent="0.25">
      <c r="A12" s="514">
        <v>7</v>
      </c>
      <c r="B12" s="1024"/>
      <c r="C12" s="1024"/>
      <c r="D12" s="1024" t="s">
        <v>521</v>
      </c>
      <c r="E12" s="1024"/>
      <c r="G12" s="304" t="s">
        <v>89</v>
      </c>
    </row>
    <row r="13" spans="1:7" x14ac:dyDescent="0.25">
      <c r="A13" s="514">
        <v>8</v>
      </c>
      <c r="B13" s="1024"/>
      <c r="C13" s="1024"/>
      <c r="D13" s="1024" t="s">
        <v>521</v>
      </c>
      <c r="E13" s="1024"/>
      <c r="G13" s="304" t="s">
        <v>89</v>
      </c>
    </row>
    <row r="14" spans="1:7" x14ac:dyDescent="0.25">
      <c r="A14" s="514">
        <v>9</v>
      </c>
      <c r="B14" s="1024"/>
      <c r="C14" s="1024"/>
      <c r="D14" s="1024" t="s">
        <v>521</v>
      </c>
      <c r="E14" s="1024"/>
      <c r="G14" s="304" t="s">
        <v>89</v>
      </c>
    </row>
    <row r="15" spans="1:7" x14ac:dyDescent="0.25">
      <c r="A15" s="514">
        <v>10</v>
      </c>
      <c r="B15" s="1024"/>
      <c r="C15" s="1024"/>
      <c r="D15" s="1024" t="s">
        <v>521</v>
      </c>
      <c r="E15" s="1024"/>
      <c r="G15" s="304" t="s">
        <v>89</v>
      </c>
    </row>
    <row r="16" spans="1:7" x14ac:dyDescent="0.25">
      <c r="A16" s="514">
        <v>11</v>
      </c>
      <c r="B16" s="1024"/>
      <c r="C16" s="1024"/>
      <c r="D16" s="1024" t="s">
        <v>521</v>
      </c>
      <c r="E16" s="1024"/>
      <c r="G16" s="304" t="s">
        <v>89</v>
      </c>
    </row>
    <row r="17" spans="1:7" x14ac:dyDescent="0.25">
      <c r="A17" s="514">
        <v>12</v>
      </c>
      <c r="B17" s="1024"/>
      <c r="C17" s="1024"/>
      <c r="D17" s="1024" t="s">
        <v>521</v>
      </c>
      <c r="E17" s="1024"/>
      <c r="G17" s="304" t="s">
        <v>89</v>
      </c>
    </row>
    <row r="18" spans="1:7" x14ac:dyDescent="0.25">
      <c r="A18" s="514">
        <v>13</v>
      </c>
      <c r="B18" s="1024"/>
      <c r="C18" s="1024"/>
      <c r="D18" s="1024" t="s">
        <v>521</v>
      </c>
      <c r="E18" s="1024"/>
      <c r="G18" s="304" t="s">
        <v>89</v>
      </c>
    </row>
    <row r="19" spans="1:7" x14ac:dyDescent="0.25">
      <c r="A19" s="514">
        <v>14</v>
      </c>
      <c r="B19" s="1024"/>
      <c r="C19" s="1024"/>
      <c r="D19" s="1024" t="s">
        <v>521</v>
      </c>
      <c r="E19" s="1024"/>
      <c r="G19" s="304" t="s">
        <v>89</v>
      </c>
    </row>
    <row r="20" spans="1:7" x14ac:dyDescent="0.25">
      <c r="A20" s="514">
        <v>15</v>
      </c>
      <c r="B20" s="1024"/>
      <c r="C20" s="1024"/>
      <c r="D20" s="1024" t="s">
        <v>521</v>
      </c>
      <c r="E20" s="1024"/>
      <c r="G20" s="304" t="s">
        <v>89</v>
      </c>
    </row>
    <row r="21" spans="1:7" x14ac:dyDescent="0.25">
      <c r="A21" s="514">
        <v>16</v>
      </c>
      <c r="B21" s="1024"/>
      <c r="C21" s="1024"/>
      <c r="D21" s="1024" t="s">
        <v>521</v>
      </c>
      <c r="E21" s="1024"/>
      <c r="G21" s="304" t="s">
        <v>89</v>
      </c>
    </row>
    <row r="22" spans="1:7" x14ac:dyDescent="0.25">
      <c r="A22" s="514">
        <v>17</v>
      </c>
      <c r="B22" s="1024"/>
      <c r="C22" s="1024"/>
      <c r="D22" s="1024" t="s">
        <v>521</v>
      </c>
      <c r="E22" s="1024"/>
      <c r="G22" s="304" t="s">
        <v>89</v>
      </c>
    </row>
    <row r="23" spans="1:7" x14ac:dyDescent="0.25">
      <c r="A23" s="514">
        <v>18</v>
      </c>
      <c r="B23" s="1024"/>
      <c r="C23" s="1024"/>
      <c r="D23" s="1024" t="s">
        <v>521</v>
      </c>
      <c r="E23" s="1024"/>
      <c r="G23" s="304" t="s">
        <v>89</v>
      </c>
    </row>
    <row r="24" spans="1:7" x14ac:dyDescent="0.25">
      <c r="A24" s="514">
        <v>19</v>
      </c>
      <c r="B24" s="1024"/>
      <c r="C24" s="1024"/>
      <c r="D24" s="1024" t="s">
        <v>521</v>
      </c>
      <c r="E24" s="1024"/>
      <c r="G24" s="304" t="s">
        <v>89</v>
      </c>
    </row>
    <row r="25" spans="1:7" x14ac:dyDescent="0.25">
      <c r="A25" s="514">
        <v>20</v>
      </c>
      <c r="B25" s="1024"/>
      <c r="C25" s="1024"/>
      <c r="D25" s="1024" t="s">
        <v>521</v>
      </c>
      <c r="E25" s="1024"/>
      <c r="G25" s="304" t="s">
        <v>89</v>
      </c>
    </row>
    <row r="26" spans="1:7" x14ac:dyDescent="0.25">
      <c r="A26" s="514">
        <v>21</v>
      </c>
      <c r="B26" s="1024"/>
      <c r="C26" s="1024"/>
      <c r="D26" s="1024" t="s">
        <v>521</v>
      </c>
      <c r="E26" s="1024"/>
      <c r="G26" s="304" t="s">
        <v>89</v>
      </c>
    </row>
    <row r="27" spans="1:7" x14ac:dyDescent="0.25">
      <c r="A27" s="514">
        <v>22</v>
      </c>
      <c r="B27" s="1024"/>
      <c r="C27" s="1024"/>
      <c r="D27" s="1024" t="s">
        <v>521</v>
      </c>
      <c r="E27" s="1024"/>
      <c r="G27" s="304" t="s">
        <v>89</v>
      </c>
    </row>
    <row r="28" spans="1:7" x14ac:dyDescent="0.25">
      <c r="A28" s="514">
        <v>23</v>
      </c>
      <c r="B28" s="1024"/>
      <c r="C28" s="1024"/>
      <c r="D28" s="1024" t="s">
        <v>521</v>
      </c>
      <c r="E28" s="1024"/>
      <c r="G28" s="304" t="s">
        <v>89</v>
      </c>
    </row>
    <row r="29" spans="1:7" x14ac:dyDescent="0.25">
      <c r="A29" s="514">
        <v>24</v>
      </c>
      <c r="B29" s="1024"/>
      <c r="C29" s="1024"/>
      <c r="D29" s="1024" t="s">
        <v>521</v>
      </c>
      <c r="E29" s="1024"/>
      <c r="G29" s="304" t="s">
        <v>89</v>
      </c>
    </row>
    <row r="30" spans="1:7" x14ac:dyDescent="0.25">
      <c r="A30" s="514">
        <v>25</v>
      </c>
      <c r="B30" s="1024"/>
      <c r="C30" s="1024"/>
      <c r="D30" s="1024" t="s">
        <v>521</v>
      </c>
      <c r="E30" s="1024"/>
      <c r="G30" s="304" t="s">
        <v>89</v>
      </c>
    </row>
    <row r="31" spans="1:7" x14ac:dyDescent="0.25">
      <c r="A31" s="514">
        <v>26</v>
      </c>
      <c r="B31" s="1024"/>
      <c r="C31" s="1024"/>
      <c r="D31" s="1024" t="s">
        <v>521</v>
      </c>
      <c r="E31" s="1024"/>
      <c r="G31" s="304" t="s">
        <v>89</v>
      </c>
    </row>
    <row r="32" spans="1:7" x14ac:dyDescent="0.25">
      <c r="A32" s="514">
        <v>27</v>
      </c>
      <c r="B32" s="1024"/>
      <c r="C32" s="1024"/>
      <c r="D32" s="1024" t="s">
        <v>521</v>
      </c>
      <c r="E32" s="1024"/>
      <c r="G32" s="304" t="s">
        <v>89</v>
      </c>
    </row>
    <row r="33" spans="1:7" x14ac:dyDescent="0.25">
      <c r="A33" s="514">
        <v>28</v>
      </c>
      <c r="B33" s="1024"/>
      <c r="C33" s="1024"/>
      <c r="D33" s="1024" t="s">
        <v>521</v>
      </c>
      <c r="E33" s="1024"/>
      <c r="G33" s="304" t="s">
        <v>89</v>
      </c>
    </row>
    <row r="34" spans="1:7" x14ac:dyDescent="0.25">
      <c r="A34" s="514">
        <v>29</v>
      </c>
      <c r="B34" s="1024"/>
      <c r="C34" s="1024"/>
      <c r="D34" s="1024" t="s">
        <v>521</v>
      </c>
      <c r="E34" s="1024"/>
      <c r="G34" s="304" t="s">
        <v>89</v>
      </c>
    </row>
    <row r="35" spans="1:7" x14ac:dyDescent="0.25">
      <c r="A35" s="519">
        <v>30</v>
      </c>
      <c r="B35" s="1025"/>
      <c r="C35" s="1025"/>
      <c r="D35" s="1025" t="s">
        <v>521</v>
      </c>
      <c r="E35" s="1025"/>
      <c r="G35" s="304" t="s">
        <v>89</v>
      </c>
    </row>
    <row r="36" spans="1:7" x14ac:dyDescent="0.25">
      <c r="G36" s="304" t="s">
        <v>89</v>
      </c>
    </row>
    <row r="37" spans="1:7" x14ac:dyDescent="0.25">
      <c r="A37" s="1026" t="s">
        <v>89</v>
      </c>
      <c r="B37" s="1027" t="s">
        <v>89</v>
      </c>
      <c r="C37" s="1027" t="s">
        <v>89</v>
      </c>
      <c r="D37" s="1027" t="s">
        <v>89</v>
      </c>
      <c r="E37" s="1027" t="s">
        <v>89</v>
      </c>
      <c r="F37" s="1028" t="s">
        <v>89</v>
      </c>
      <c r="G37" s="1029" t="s">
        <v>89</v>
      </c>
    </row>
  </sheetData>
  <mergeCells count="1">
    <mergeCell ref="A3:F3"/>
  </mergeCells>
  <dataValidations count="1">
    <dataValidation type="list" allowBlank="1" showInputMessage="1" showErrorMessage="1" sqref="D6:D35">
      <formula1>Devizanem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CCFFFF"/>
  </sheetPr>
  <dimension ref="A1:P55"/>
  <sheetViews>
    <sheetView topLeftCell="C1" workbookViewId="0">
      <selection activeCell="D18" sqref="D18"/>
    </sheetView>
  </sheetViews>
  <sheetFormatPr defaultRowHeight="15" outlineLevelCol="1" x14ac:dyDescent="0.25"/>
  <cols>
    <col min="1" max="2" width="9.140625" hidden="1" customWidth="1" outlineLevel="1"/>
    <col min="3" max="3" width="35.7109375" customWidth="1" collapsed="1"/>
    <col min="4" max="4" width="9.7109375" customWidth="1"/>
    <col min="5" max="5" width="2.140625" customWidth="1"/>
    <col min="6" max="6" width="9.7109375" customWidth="1"/>
    <col min="7" max="7" width="38.5703125" customWidth="1"/>
    <col min="8" max="8" width="1.28515625" style="300" customWidth="1"/>
    <col min="9" max="9" width="35.7109375" style="300" customWidth="1"/>
    <col min="10" max="10" width="9.7109375" style="300" customWidth="1"/>
    <col min="11" max="11" width="2.28515625" style="300" customWidth="1"/>
    <col min="12" max="12" width="9.7109375" style="300" customWidth="1"/>
    <col min="13" max="13" width="37.42578125" style="300" customWidth="1"/>
    <col min="14" max="14" width="4" customWidth="1"/>
    <col min="15" max="15" width="16" customWidth="1"/>
    <col min="16" max="16" width="28" customWidth="1"/>
  </cols>
  <sheetData>
    <row r="1" spans="3:16" ht="15.75" x14ac:dyDescent="0.25">
      <c r="C1" s="493" t="str">
        <f>Participant!$A$1</f>
        <v>&lt;Participant's name&gt;</v>
      </c>
      <c r="D1" s="494"/>
      <c r="E1" s="495"/>
      <c r="F1" s="495"/>
      <c r="G1" s="485" t="str">
        <f>Participant!$E$1</f>
        <v>2013 - HUF (Thousands)</v>
      </c>
      <c r="I1" s="493" t="str">
        <f>Participant!$A$1</f>
        <v>&lt;Participant's name&gt;</v>
      </c>
      <c r="J1" s="494"/>
      <c r="K1" s="495"/>
      <c r="L1" s="495"/>
      <c r="M1" s="485" t="str">
        <f>Participant!$E$1</f>
        <v>2013 - HUF (Thousands)</v>
      </c>
      <c r="N1" s="339" t="s">
        <v>89</v>
      </c>
    </row>
    <row r="2" spans="3:16" x14ac:dyDescent="0.25">
      <c r="C2" s="486" t="str">
        <f>Participant!$A$2</f>
        <v>-</v>
      </c>
      <c r="D2" s="496"/>
      <c r="E2" s="498" t="s">
        <v>972</v>
      </c>
      <c r="F2" s="496"/>
      <c r="G2" s="492" t="str">
        <f>Version</f>
        <v>2013 12 31</v>
      </c>
      <c r="I2" s="486" t="str">
        <f>Participant!$A$2</f>
        <v>-</v>
      </c>
      <c r="J2" s="496"/>
      <c r="K2" s="498" t="s">
        <v>973</v>
      </c>
      <c r="L2" s="496"/>
      <c r="M2" s="492" t="str">
        <f>Version</f>
        <v>2013 12 31</v>
      </c>
      <c r="N2" s="339" t="s">
        <v>89</v>
      </c>
    </row>
    <row r="3" spans="3:16" ht="15.75" thickBot="1" x14ac:dyDescent="0.3">
      <c r="F3" s="402"/>
      <c r="G3" s="917" t="str">
        <f>HYPERLINK("#'P.index'!H9","&gt;&gt; index sheet")</f>
        <v>&gt;&gt; index sheet</v>
      </c>
      <c r="I3"/>
      <c r="J3"/>
      <c r="K3"/>
      <c r="L3"/>
      <c r="M3"/>
      <c r="N3" s="339" t="s">
        <v>89</v>
      </c>
    </row>
    <row r="4" spans="3:16" s="300" customFormat="1" ht="15.75" thickBot="1" x14ac:dyDescent="0.3">
      <c r="C4" s="581" t="s">
        <v>1132</v>
      </c>
      <c r="D4" s="582"/>
      <c r="E4" s="582"/>
      <c r="F4" s="582"/>
      <c r="G4" s="583"/>
      <c r="I4" s="581" t="s">
        <v>1133</v>
      </c>
      <c r="J4" s="582"/>
      <c r="K4" s="582"/>
      <c r="L4" s="582"/>
      <c r="M4" s="583"/>
      <c r="N4" s="339"/>
    </row>
    <row r="5" spans="3:16" x14ac:dyDescent="0.25">
      <c r="C5" s="584" t="s">
        <v>0</v>
      </c>
      <c r="D5" s="585"/>
      <c r="E5" s="340" t="s">
        <v>89</v>
      </c>
      <c r="F5" s="586" t="s">
        <v>20</v>
      </c>
      <c r="G5" s="587"/>
      <c r="I5" s="584" t="s">
        <v>0</v>
      </c>
      <c r="J5" s="585"/>
      <c r="K5" s="340" t="s">
        <v>89</v>
      </c>
      <c r="L5" s="586" t="s">
        <v>20</v>
      </c>
      <c r="M5" s="587"/>
      <c r="N5" s="339" t="s">
        <v>89</v>
      </c>
      <c r="O5" s="300"/>
      <c r="P5" s="300"/>
    </row>
    <row r="6" spans="3:16" x14ac:dyDescent="0.25">
      <c r="C6" s="588" t="s">
        <v>2</v>
      </c>
      <c r="D6" s="528" t="s">
        <v>521</v>
      </c>
      <c r="E6" s="341" t="s">
        <v>89</v>
      </c>
      <c r="F6" s="442">
        <f>SUM(F7:F8)</f>
        <v>0</v>
      </c>
      <c r="G6" s="589" t="s">
        <v>969</v>
      </c>
      <c r="I6" s="588" t="s">
        <v>2</v>
      </c>
      <c r="J6" s="528">
        <f>IF(_SingleBS,SUM(BS!D6),"-")</f>
        <v>0</v>
      </c>
      <c r="K6" s="341" t="s">
        <v>89</v>
      </c>
      <c r="L6" s="442">
        <f>SUM(L7:L8)</f>
        <v>0</v>
      </c>
      <c r="M6" s="589" t="s">
        <v>969</v>
      </c>
      <c r="N6" s="339" t="s">
        <v>89</v>
      </c>
    </row>
    <row r="7" spans="3:16" x14ac:dyDescent="0.25">
      <c r="C7" s="590" t="s">
        <v>4</v>
      </c>
      <c r="D7" s="514" t="s">
        <v>521</v>
      </c>
      <c r="E7" s="341" t="s">
        <v>89</v>
      </c>
      <c r="F7" s="524" t="s">
        <v>521</v>
      </c>
      <c r="G7" s="591" t="s">
        <v>468</v>
      </c>
      <c r="I7" s="590" t="s">
        <v>4</v>
      </c>
      <c r="J7" s="514">
        <f>IF(_SingleBS,SUM(BS!D7),"-")</f>
        <v>0</v>
      </c>
      <c r="K7" s="337" t="s">
        <v>89</v>
      </c>
      <c r="L7" s="524">
        <f>IF(_SingleBS,SUM(BS!F7),"-")</f>
        <v>0</v>
      </c>
      <c r="M7" s="591" t="s">
        <v>468</v>
      </c>
      <c r="N7" s="339" t="s">
        <v>89</v>
      </c>
    </row>
    <row r="8" spans="3:16" x14ac:dyDescent="0.25">
      <c r="C8" s="590" t="s">
        <v>5</v>
      </c>
      <c r="D8" s="514" t="s">
        <v>521</v>
      </c>
      <c r="E8" s="341" t="s">
        <v>89</v>
      </c>
      <c r="F8" s="524" t="s">
        <v>521</v>
      </c>
      <c r="G8" s="591" t="s">
        <v>469</v>
      </c>
      <c r="I8" s="590" t="s">
        <v>5</v>
      </c>
      <c r="J8" s="514">
        <f>IF(_SingleBS,SUM(BS!D8),"-")</f>
        <v>0</v>
      </c>
      <c r="K8" s="337" t="s">
        <v>89</v>
      </c>
      <c r="L8" s="524">
        <f>IF(_SingleBS,SUM(BS!F8),"-")</f>
        <v>0</v>
      </c>
      <c r="M8" s="591" t="s">
        <v>469</v>
      </c>
      <c r="N8" s="339" t="s">
        <v>89</v>
      </c>
    </row>
    <row r="9" spans="3:16" x14ac:dyDescent="0.25">
      <c r="C9" s="590" t="s">
        <v>6</v>
      </c>
      <c r="D9" s="514" t="s">
        <v>521</v>
      </c>
      <c r="E9" s="341" t="s">
        <v>89</v>
      </c>
      <c r="F9" s="442">
        <f>SUM(F10:F11)</f>
        <v>0</v>
      </c>
      <c r="G9" s="589" t="s">
        <v>970</v>
      </c>
      <c r="I9" s="590" t="s">
        <v>6</v>
      </c>
      <c r="J9" s="514">
        <f>IF(_SingleBS,SUM(BS!D9),"-")</f>
        <v>0</v>
      </c>
      <c r="K9" s="337" t="s">
        <v>89</v>
      </c>
      <c r="L9" s="442">
        <f>SUM(L10:L11)</f>
        <v>0</v>
      </c>
      <c r="M9" s="589" t="s">
        <v>970</v>
      </c>
      <c r="N9" s="339" t="s">
        <v>89</v>
      </c>
    </row>
    <row r="10" spans="3:16" x14ac:dyDescent="0.25">
      <c r="C10" s="592" t="s">
        <v>7</v>
      </c>
      <c r="D10" s="514" t="s">
        <v>521</v>
      </c>
      <c r="E10" s="341" t="s">
        <v>89</v>
      </c>
      <c r="F10" s="524" t="s">
        <v>521</v>
      </c>
      <c r="G10" s="591" t="s">
        <v>468</v>
      </c>
      <c r="I10" s="592" t="s">
        <v>7</v>
      </c>
      <c r="J10" s="514">
        <f>IF(_SingleBS,SUM(BS!D10),"-")</f>
        <v>0</v>
      </c>
      <c r="K10" s="337" t="s">
        <v>89</v>
      </c>
      <c r="L10" s="524">
        <f>IF(_SingleBS,SUM(BS!F10),"-")</f>
        <v>0</v>
      </c>
      <c r="M10" s="591" t="s">
        <v>468</v>
      </c>
      <c r="N10" s="339" t="s">
        <v>89</v>
      </c>
    </row>
    <row r="11" spans="3:16" x14ac:dyDescent="0.25">
      <c r="C11" s="593" t="s">
        <v>77</v>
      </c>
      <c r="D11" s="443">
        <f>SUM(D12:D14,D17,D22:D25)</f>
        <v>0</v>
      </c>
      <c r="E11" s="341" t="s">
        <v>89</v>
      </c>
      <c r="F11" s="524" t="s">
        <v>521</v>
      </c>
      <c r="G11" s="591" t="s">
        <v>469</v>
      </c>
      <c r="I11" s="593" t="s">
        <v>77</v>
      </c>
      <c r="J11" s="443">
        <f>SUM(J12:J14,J17,J22:J25)</f>
        <v>0</v>
      </c>
      <c r="K11" s="337" t="s">
        <v>89</v>
      </c>
      <c r="L11" s="524">
        <f>IF(_SingleBS,SUM(BS!F11),"-")</f>
        <v>0</v>
      </c>
      <c r="M11" s="591" t="s">
        <v>469</v>
      </c>
      <c r="N11" s="339" t="s">
        <v>89</v>
      </c>
    </row>
    <row r="12" spans="3:16" x14ac:dyDescent="0.25">
      <c r="C12" s="594" t="s">
        <v>125</v>
      </c>
      <c r="D12" s="514" t="s">
        <v>521</v>
      </c>
      <c r="E12" s="341" t="s">
        <v>89</v>
      </c>
      <c r="F12" s="524" t="s">
        <v>521</v>
      </c>
      <c r="G12" s="595" t="s">
        <v>470</v>
      </c>
      <c r="I12" s="594" t="s">
        <v>125</v>
      </c>
      <c r="J12" s="514">
        <f>IF(_SingleBS,SUM(BS!D12),"-")</f>
        <v>0</v>
      </c>
      <c r="K12" s="337" t="s">
        <v>89</v>
      </c>
      <c r="L12" s="524">
        <f>IF(_SingleBS,SUM(BS!F12),"-")</f>
        <v>0</v>
      </c>
      <c r="M12" s="595" t="s">
        <v>470</v>
      </c>
      <c r="N12" s="339" t="s">
        <v>89</v>
      </c>
    </row>
    <row r="13" spans="3:16" x14ac:dyDescent="0.25">
      <c r="C13" s="594" t="s">
        <v>124</v>
      </c>
      <c r="D13" s="514" t="s">
        <v>521</v>
      </c>
      <c r="E13" s="341" t="s">
        <v>89</v>
      </c>
      <c r="F13" s="522" t="s">
        <v>521</v>
      </c>
      <c r="G13" s="589" t="s">
        <v>471</v>
      </c>
      <c r="I13" s="594" t="s">
        <v>124</v>
      </c>
      <c r="J13" s="514">
        <f>IF(_SingleBS,SUM(BS!D13),"-")</f>
        <v>0</v>
      </c>
      <c r="K13" s="337" t="s">
        <v>89</v>
      </c>
      <c r="L13" s="522">
        <f>IF(_SingleBS,SUM(BS!F13),"-")</f>
        <v>0</v>
      </c>
      <c r="M13" s="589" t="s">
        <v>471</v>
      </c>
      <c r="N13" s="339" t="s">
        <v>89</v>
      </c>
    </row>
    <row r="14" spans="3:16" x14ac:dyDescent="0.25">
      <c r="C14" s="594" t="s">
        <v>68</v>
      </c>
      <c r="D14" s="444">
        <f>SUM(D15:D16)</f>
        <v>0</v>
      </c>
      <c r="E14" s="341" t="s">
        <v>89</v>
      </c>
      <c r="F14" s="527" t="s">
        <v>521</v>
      </c>
      <c r="G14" s="596" t="s">
        <v>971</v>
      </c>
      <c r="I14" s="594" t="s">
        <v>68</v>
      </c>
      <c r="J14" s="444">
        <f>SUM(J15:J16)</f>
        <v>0</v>
      </c>
      <c r="K14" s="337" t="s">
        <v>89</v>
      </c>
      <c r="L14" s="527">
        <f>IF(_SingleBS,SUM(BS!F14),"-")</f>
        <v>0</v>
      </c>
      <c r="M14" s="596" t="s">
        <v>971</v>
      </c>
      <c r="N14" s="339" t="s">
        <v>89</v>
      </c>
    </row>
    <row r="15" spans="3:16" x14ac:dyDescent="0.25">
      <c r="C15" s="597" t="s">
        <v>1053</v>
      </c>
      <c r="D15" s="514" t="s">
        <v>521</v>
      </c>
      <c r="E15" s="341" t="s">
        <v>89</v>
      </c>
      <c r="F15" s="524" t="s">
        <v>521</v>
      </c>
      <c r="G15" s="589" t="s">
        <v>472</v>
      </c>
      <c r="I15" s="597" t="s">
        <v>1053</v>
      </c>
      <c r="J15" s="514">
        <f>IF(_SingleBS,SUM(BS!D15),"-")</f>
        <v>0</v>
      </c>
      <c r="K15" s="337" t="s">
        <v>89</v>
      </c>
      <c r="L15" s="524">
        <f>IF(_SingleBS,SUM(BS!F15),"-")</f>
        <v>0</v>
      </c>
      <c r="M15" s="589" t="s">
        <v>472</v>
      </c>
      <c r="N15" s="339" t="s">
        <v>89</v>
      </c>
    </row>
    <row r="16" spans="3:16" x14ac:dyDescent="0.25">
      <c r="C16" s="597" t="s">
        <v>1073</v>
      </c>
      <c r="D16" s="514" t="s">
        <v>521</v>
      </c>
      <c r="E16" s="341" t="s">
        <v>89</v>
      </c>
      <c r="F16" s="517" t="s">
        <v>521</v>
      </c>
      <c r="G16" s="598" t="s">
        <v>477</v>
      </c>
      <c r="I16" s="597" t="s">
        <v>1054</v>
      </c>
      <c r="J16" s="514">
        <f>IF(_SingleBS,SUM(BS!D16),"-")</f>
        <v>0</v>
      </c>
      <c r="K16" s="337" t="s">
        <v>89</v>
      </c>
      <c r="L16" s="517">
        <f>IF(_SingleBS,SUM(BS!F16),"-")</f>
        <v>0</v>
      </c>
      <c r="M16" s="598" t="s">
        <v>477</v>
      </c>
      <c r="N16" s="339" t="s">
        <v>89</v>
      </c>
    </row>
    <row r="17" spans="3:14" x14ac:dyDescent="0.25">
      <c r="C17" s="594" t="s">
        <v>69</v>
      </c>
      <c r="D17" s="444">
        <f>SUM(D18:D21)</f>
        <v>0</v>
      </c>
      <c r="E17" s="341" t="s">
        <v>89</v>
      </c>
      <c r="F17" s="524" t="s">
        <v>521</v>
      </c>
      <c r="G17" s="599" t="s">
        <v>137</v>
      </c>
      <c r="I17" s="594" t="s">
        <v>69</v>
      </c>
      <c r="J17" s="444">
        <f>SUM(J18:J21)</f>
        <v>0</v>
      </c>
      <c r="K17" s="337" t="s">
        <v>89</v>
      </c>
      <c r="L17" s="524">
        <f>IF(_SingleBS,SUM(BS!F17),"-")</f>
        <v>0</v>
      </c>
      <c r="M17" s="599" t="s">
        <v>137</v>
      </c>
      <c r="N17" s="339" t="s">
        <v>89</v>
      </c>
    </row>
    <row r="18" spans="3:14" x14ac:dyDescent="0.25">
      <c r="C18" s="597" t="s">
        <v>76</v>
      </c>
      <c r="D18" s="514" t="s">
        <v>521</v>
      </c>
      <c r="E18" s="341" t="s">
        <v>89</v>
      </c>
      <c r="F18" s="442">
        <f>SUM(F19,F23,F27)</f>
        <v>0</v>
      </c>
      <c r="G18" s="589" t="s">
        <v>473</v>
      </c>
      <c r="I18" s="597" t="s">
        <v>76</v>
      </c>
      <c r="J18" s="514">
        <f>IF(_SingleBS,SUM(BS!D18),"-")</f>
        <v>0</v>
      </c>
      <c r="K18" s="337" t="s">
        <v>89</v>
      </c>
      <c r="L18" s="442">
        <f>SUM(L19,L23,L27)</f>
        <v>0</v>
      </c>
      <c r="M18" s="589" t="s">
        <v>473</v>
      </c>
      <c r="N18" s="339" t="s">
        <v>89</v>
      </c>
    </row>
    <row r="19" spans="3:14" x14ac:dyDescent="0.25">
      <c r="C19" s="597" t="s">
        <v>123</v>
      </c>
      <c r="D19" s="514" t="s">
        <v>521</v>
      </c>
      <c r="E19" s="341" t="s">
        <v>89</v>
      </c>
      <c r="F19" s="445">
        <f>SUM(F20:F22)</f>
        <v>0</v>
      </c>
      <c r="G19" s="600" t="s">
        <v>136</v>
      </c>
      <c r="I19" s="597" t="s">
        <v>123</v>
      </c>
      <c r="J19" s="514">
        <f>IF(_SingleBS,SUM(BS!D19),"-")</f>
        <v>0</v>
      </c>
      <c r="K19" s="337" t="s">
        <v>89</v>
      </c>
      <c r="L19" s="445">
        <f>SUM(L20:L22)</f>
        <v>0</v>
      </c>
      <c r="M19" s="600" t="s">
        <v>136</v>
      </c>
      <c r="N19" s="339" t="s">
        <v>89</v>
      </c>
    </row>
    <row r="20" spans="3:14" x14ac:dyDescent="0.25">
      <c r="C20" s="597" t="s">
        <v>122</v>
      </c>
      <c r="D20" s="514" t="s">
        <v>521</v>
      </c>
      <c r="E20" s="341" t="s">
        <v>89</v>
      </c>
      <c r="F20" s="524" t="s">
        <v>521</v>
      </c>
      <c r="G20" s="601" t="s">
        <v>474</v>
      </c>
      <c r="I20" s="597" t="s">
        <v>122</v>
      </c>
      <c r="J20" s="514">
        <f>IF(_SingleBS,SUM(BS!D20),"-")</f>
        <v>0</v>
      </c>
      <c r="K20" s="337" t="s">
        <v>89</v>
      </c>
      <c r="L20" s="524">
        <f>IF(_SingleBS,SUM(BS!F20),"-")</f>
        <v>0</v>
      </c>
      <c r="M20" s="601" t="s">
        <v>474</v>
      </c>
      <c r="N20" s="339" t="s">
        <v>89</v>
      </c>
    </row>
    <row r="21" spans="3:14" x14ac:dyDescent="0.25">
      <c r="C21" s="597" t="s">
        <v>121</v>
      </c>
      <c r="D21" s="514" t="s">
        <v>521</v>
      </c>
      <c r="E21" s="341" t="s">
        <v>89</v>
      </c>
      <c r="F21" s="524" t="s">
        <v>521</v>
      </c>
      <c r="G21" s="601" t="s">
        <v>475</v>
      </c>
      <c r="I21" s="597" t="s">
        <v>121</v>
      </c>
      <c r="J21" s="514">
        <f>IF(_SingleBS,SUM(BS!D21),"-")</f>
        <v>0</v>
      </c>
      <c r="K21" s="337" t="s">
        <v>89</v>
      </c>
      <c r="L21" s="524">
        <f>IF(_SingleBS,SUM(BS!F21),"-")</f>
        <v>0</v>
      </c>
      <c r="M21" s="601" t="s">
        <v>475</v>
      </c>
      <c r="N21" s="339" t="s">
        <v>89</v>
      </c>
    </row>
    <row r="22" spans="3:14" x14ac:dyDescent="0.25">
      <c r="C22" s="594" t="s">
        <v>120</v>
      </c>
      <c r="D22" s="514" t="s">
        <v>521</v>
      </c>
      <c r="E22" s="341" t="s">
        <v>89</v>
      </c>
      <c r="F22" s="527" t="s">
        <v>521</v>
      </c>
      <c r="G22" s="602" t="s">
        <v>476</v>
      </c>
      <c r="I22" s="594" t="s">
        <v>120</v>
      </c>
      <c r="J22" s="514">
        <f>IF(_SingleBS,SUM(BS!D22),"-")</f>
        <v>0</v>
      </c>
      <c r="K22" s="337" t="s">
        <v>89</v>
      </c>
      <c r="L22" s="527">
        <f>IF(_SingleBS,SUM(BS!F22),"-")</f>
        <v>0</v>
      </c>
      <c r="M22" s="602" t="s">
        <v>476</v>
      </c>
      <c r="N22" s="339" t="s">
        <v>89</v>
      </c>
    </row>
    <row r="23" spans="3:14" x14ac:dyDescent="0.25">
      <c r="C23" s="594" t="s">
        <v>26</v>
      </c>
      <c r="D23" s="514" t="s">
        <v>521</v>
      </c>
      <c r="E23" s="341" t="s">
        <v>89</v>
      </c>
      <c r="F23" s="445">
        <f>SUM(F24:F26)</f>
        <v>0</v>
      </c>
      <c r="G23" s="600" t="s">
        <v>129</v>
      </c>
      <c r="I23" s="594" t="s">
        <v>26</v>
      </c>
      <c r="J23" s="514">
        <f>IF(_SingleBS,SUM(BS!D23),"-")</f>
        <v>0</v>
      </c>
      <c r="K23" s="337" t="s">
        <v>89</v>
      </c>
      <c r="L23" s="445">
        <f>SUM(L24:L26)</f>
        <v>0</v>
      </c>
      <c r="M23" s="600" t="s">
        <v>129</v>
      </c>
      <c r="N23" s="339" t="s">
        <v>89</v>
      </c>
    </row>
    <row r="24" spans="3:14" x14ac:dyDescent="0.25">
      <c r="C24" s="594" t="s">
        <v>119</v>
      </c>
      <c r="D24" s="514" t="s">
        <v>521</v>
      </c>
      <c r="E24" s="341" t="s">
        <v>89</v>
      </c>
      <c r="F24" s="524" t="s">
        <v>521</v>
      </c>
      <c r="G24" s="601" t="s">
        <v>474</v>
      </c>
      <c r="I24" s="594" t="s">
        <v>119</v>
      </c>
      <c r="J24" s="514">
        <f>IF(_SingleBS,SUM(BS!D24),"-")</f>
        <v>0</v>
      </c>
      <c r="K24" s="337" t="s">
        <v>89</v>
      </c>
      <c r="L24" s="524">
        <f>IF(_SingleBS,SUM(BS!F24),"-")</f>
        <v>0</v>
      </c>
      <c r="M24" s="601" t="s">
        <v>474</v>
      </c>
      <c r="N24" s="339" t="s">
        <v>89</v>
      </c>
    </row>
    <row r="25" spans="3:14" x14ac:dyDescent="0.25">
      <c r="C25" s="594" t="s">
        <v>81</v>
      </c>
      <c r="D25" s="519" t="s">
        <v>521</v>
      </c>
      <c r="E25" s="341" t="s">
        <v>89</v>
      </c>
      <c r="F25" s="524" t="s">
        <v>521</v>
      </c>
      <c r="G25" s="601" t="s">
        <v>475</v>
      </c>
      <c r="I25" s="594" t="s">
        <v>81</v>
      </c>
      <c r="J25" s="519">
        <f>IF(_SingleBS,SUM(BS!D25),"-")</f>
        <v>0</v>
      </c>
      <c r="K25" s="337" t="s">
        <v>89</v>
      </c>
      <c r="L25" s="524">
        <f>IF(_SingleBS,SUM(BS!F25),"-")</f>
        <v>0</v>
      </c>
      <c r="M25" s="601" t="s">
        <v>475</v>
      </c>
      <c r="N25" s="339" t="s">
        <v>89</v>
      </c>
    </row>
    <row r="26" spans="3:14" x14ac:dyDescent="0.25">
      <c r="C26" s="588" t="s">
        <v>967</v>
      </c>
      <c r="D26" s="518" t="s">
        <v>521</v>
      </c>
      <c r="E26" s="341" t="s">
        <v>89</v>
      </c>
      <c r="F26" s="524" t="s">
        <v>521</v>
      </c>
      <c r="G26" s="601" t="s">
        <v>476</v>
      </c>
      <c r="I26" s="588" t="s">
        <v>967</v>
      </c>
      <c r="J26" s="518">
        <f>IF(_SingleBS,SUM(BS!D26),"-")</f>
        <v>0</v>
      </c>
      <c r="K26" s="337" t="s">
        <v>89</v>
      </c>
      <c r="L26" s="524">
        <f>IF(_SingleBS,SUM(BS!F26),"-")</f>
        <v>0</v>
      </c>
      <c r="M26" s="601" t="s">
        <v>476</v>
      </c>
      <c r="N26" s="339" t="s">
        <v>89</v>
      </c>
    </row>
    <row r="27" spans="3:14" x14ac:dyDescent="0.25">
      <c r="C27" s="588" t="s">
        <v>9</v>
      </c>
      <c r="D27" s="443">
        <f>SUM(D28:D29)</f>
        <v>0</v>
      </c>
      <c r="E27" s="341" t="s">
        <v>89</v>
      </c>
      <c r="F27" s="527" t="s">
        <v>521</v>
      </c>
      <c r="G27" s="603" t="s">
        <v>134</v>
      </c>
      <c r="I27" s="588" t="s">
        <v>9</v>
      </c>
      <c r="J27" s="443">
        <f>SUM(J28:J29)</f>
        <v>0</v>
      </c>
      <c r="K27" s="337" t="s">
        <v>89</v>
      </c>
      <c r="L27" s="527">
        <f>IF(_SingleBS,SUM(BS!F27),"-")</f>
        <v>0</v>
      </c>
      <c r="M27" s="603" t="s">
        <v>134</v>
      </c>
      <c r="N27" s="339" t="s">
        <v>89</v>
      </c>
    </row>
    <row r="28" spans="3:14" x14ac:dyDescent="0.25">
      <c r="C28" s="604" t="s">
        <v>115</v>
      </c>
      <c r="D28" s="514" t="s">
        <v>521</v>
      </c>
      <c r="E28" s="341" t="s">
        <v>89</v>
      </c>
      <c r="F28" s="524" t="s">
        <v>521</v>
      </c>
      <c r="G28" s="605" t="s">
        <v>70</v>
      </c>
      <c r="I28" s="604" t="s">
        <v>115</v>
      </c>
      <c r="J28" s="514">
        <f>IF(_SingleBS,SUM(BS!D28),"-")</f>
        <v>0</v>
      </c>
      <c r="K28" s="337" t="s">
        <v>89</v>
      </c>
      <c r="L28" s="524">
        <f>IF(_SingleBS,SUM(BS!F28),"-")</f>
        <v>0</v>
      </c>
      <c r="M28" s="605" t="s">
        <v>70</v>
      </c>
      <c r="N28" s="339" t="s">
        <v>89</v>
      </c>
    </row>
    <row r="29" spans="3:14" x14ac:dyDescent="0.25">
      <c r="C29" s="604" t="s">
        <v>116</v>
      </c>
      <c r="D29" s="514" t="s">
        <v>521</v>
      </c>
      <c r="E29" s="341" t="s">
        <v>89</v>
      </c>
      <c r="F29" s="524" t="s">
        <v>521</v>
      </c>
      <c r="G29" s="605" t="s">
        <v>25</v>
      </c>
      <c r="I29" s="604" t="s">
        <v>116</v>
      </c>
      <c r="J29" s="514">
        <f>IF(_SingleBS,SUM(BS!D29),"-")</f>
        <v>0</v>
      </c>
      <c r="K29" s="337" t="s">
        <v>89</v>
      </c>
      <c r="L29" s="524">
        <f>IF(_SingleBS,SUM(BS!F29),"-")</f>
        <v>0</v>
      </c>
      <c r="M29" s="605" t="s">
        <v>25</v>
      </c>
      <c r="N29" s="339" t="s">
        <v>89</v>
      </c>
    </row>
    <row r="30" spans="3:14" x14ac:dyDescent="0.25">
      <c r="C30" s="588" t="s">
        <v>10</v>
      </c>
      <c r="D30" s="528" t="s">
        <v>521</v>
      </c>
      <c r="E30" s="341" t="s">
        <v>89</v>
      </c>
      <c r="F30" s="524" t="s">
        <v>521</v>
      </c>
      <c r="G30" s="605" t="s">
        <v>23</v>
      </c>
      <c r="I30" s="588" t="s">
        <v>10</v>
      </c>
      <c r="J30" s="528">
        <f>IF(_SingleBS,SUM(BS!D30),"-")</f>
        <v>0</v>
      </c>
      <c r="K30" s="337" t="s">
        <v>89</v>
      </c>
      <c r="L30" s="524">
        <f>IF(_SingleBS,SUM(BS!F30),"-")</f>
        <v>0</v>
      </c>
      <c r="M30" s="605" t="s">
        <v>23</v>
      </c>
      <c r="N30" s="339" t="s">
        <v>89</v>
      </c>
    </row>
    <row r="31" spans="3:14" x14ac:dyDescent="0.25">
      <c r="C31" s="588" t="s">
        <v>11</v>
      </c>
      <c r="D31" s="528" t="s">
        <v>521</v>
      </c>
      <c r="E31" s="341" t="s">
        <v>89</v>
      </c>
      <c r="F31" s="524" t="s">
        <v>521</v>
      </c>
      <c r="G31" s="605" t="s">
        <v>26</v>
      </c>
      <c r="I31" s="588" t="s">
        <v>11</v>
      </c>
      <c r="J31" s="528">
        <f>IF(_SingleBS,SUM(BS!D31),"-")</f>
        <v>0</v>
      </c>
      <c r="K31" s="337" t="s">
        <v>89</v>
      </c>
      <c r="L31" s="524">
        <f>IF(_SingleBS,SUM(BS!F31),"-")</f>
        <v>0</v>
      </c>
      <c r="M31" s="605" t="s">
        <v>26</v>
      </c>
      <c r="N31" s="339" t="s">
        <v>89</v>
      </c>
    </row>
    <row r="32" spans="3:14" x14ac:dyDescent="0.25">
      <c r="C32" s="606" t="s">
        <v>346</v>
      </c>
      <c r="D32" s="443">
        <f>SUM(D33,D36,D40)</f>
        <v>0</v>
      </c>
      <c r="E32" s="341" t="s">
        <v>89</v>
      </c>
      <c r="F32" s="446">
        <f>SUM(F33,F36,F40,F41)</f>
        <v>0</v>
      </c>
      <c r="G32" s="607" t="s">
        <v>531</v>
      </c>
      <c r="I32" s="606" t="s">
        <v>346</v>
      </c>
      <c r="J32" s="443">
        <f>SUM(J33,J36,J40)</f>
        <v>0</v>
      </c>
      <c r="K32" s="337" t="s">
        <v>89</v>
      </c>
      <c r="L32" s="446">
        <f>SUM(L33,L36,L40,L41)</f>
        <v>0</v>
      </c>
      <c r="M32" s="607" t="s">
        <v>531</v>
      </c>
      <c r="N32" s="339" t="s">
        <v>89</v>
      </c>
    </row>
    <row r="33" spans="3:14" x14ac:dyDescent="0.25">
      <c r="C33" s="594" t="s">
        <v>345</v>
      </c>
      <c r="D33" s="444">
        <f>SUM(D34:D35)</f>
        <v>0</v>
      </c>
      <c r="E33" s="341" t="s">
        <v>89</v>
      </c>
      <c r="F33" s="447">
        <f>SUM(F34:F35)</f>
        <v>0</v>
      </c>
      <c r="G33" s="608" t="s">
        <v>345</v>
      </c>
      <c r="I33" s="594" t="s">
        <v>345</v>
      </c>
      <c r="J33" s="444">
        <f>SUM(J34:J35)</f>
        <v>0</v>
      </c>
      <c r="K33" s="337" t="s">
        <v>89</v>
      </c>
      <c r="L33" s="447">
        <f>SUM(L34:L35)</f>
        <v>0</v>
      </c>
      <c r="M33" s="608" t="s">
        <v>345</v>
      </c>
      <c r="N33" s="339" t="s">
        <v>89</v>
      </c>
    </row>
    <row r="34" spans="3:14" x14ac:dyDescent="0.25">
      <c r="C34" s="609" t="s">
        <v>117</v>
      </c>
      <c r="D34" s="514" t="s">
        <v>521</v>
      </c>
      <c r="E34" s="341" t="s">
        <v>89</v>
      </c>
      <c r="F34" s="524" t="s">
        <v>521</v>
      </c>
      <c r="G34" s="610" t="s">
        <v>963</v>
      </c>
      <c r="I34" s="609" t="s">
        <v>117</v>
      </c>
      <c r="J34" s="514">
        <f>IF(_SingleBS,SUM(BS!D34),"-")</f>
        <v>0</v>
      </c>
      <c r="K34" s="337" t="s">
        <v>89</v>
      </c>
      <c r="L34" s="524">
        <f>IF(_SingleBS,SUM(BS!F34),"-")</f>
        <v>0</v>
      </c>
      <c r="M34" s="610" t="s">
        <v>963</v>
      </c>
      <c r="N34" s="339" t="s">
        <v>89</v>
      </c>
    </row>
    <row r="35" spans="3:14" x14ac:dyDescent="0.25">
      <c r="C35" s="609" t="s">
        <v>118</v>
      </c>
      <c r="D35" s="514" t="s">
        <v>521</v>
      </c>
      <c r="E35" s="341" t="s">
        <v>89</v>
      </c>
      <c r="F35" s="524" t="s">
        <v>521</v>
      </c>
      <c r="G35" s="610" t="s">
        <v>488</v>
      </c>
      <c r="I35" s="609" t="s">
        <v>118</v>
      </c>
      <c r="J35" s="514">
        <f>IF(_SingleBS,SUM(BS!D35),"-")</f>
        <v>0</v>
      </c>
      <c r="K35" s="337" t="s">
        <v>89</v>
      </c>
      <c r="L35" s="524">
        <f>IF(_SingleBS,SUM(BS!F35),"-")</f>
        <v>0</v>
      </c>
      <c r="M35" s="610" t="s">
        <v>488</v>
      </c>
      <c r="N35" s="339" t="s">
        <v>89</v>
      </c>
    </row>
    <row r="36" spans="3:14" x14ac:dyDescent="0.25">
      <c r="C36" s="594" t="s">
        <v>968</v>
      </c>
      <c r="D36" s="444">
        <f>SUM(D37:D38)</f>
        <v>0</v>
      </c>
      <c r="E36" s="341" t="s">
        <v>89</v>
      </c>
      <c r="F36" s="447">
        <f>SUM(F37:F39)</f>
        <v>0</v>
      </c>
      <c r="G36" s="608" t="s">
        <v>964</v>
      </c>
      <c r="I36" s="594" t="s">
        <v>968</v>
      </c>
      <c r="J36" s="444">
        <f>SUM(J37:J38)</f>
        <v>0</v>
      </c>
      <c r="K36" s="337" t="s">
        <v>89</v>
      </c>
      <c r="L36" s="447">
        <f>SUM(L37:L39)</f>
        <v>0</v>
      </c>
      <c r="M36" s="608" t="s">
        <v>964</v>
      </c>
      <c r="N36" s="339" t="s">
        <v>89</v>
      </c>
    </row>
    <row r="37" spans="3:14" x14ac:dyDescent="0.25">
      <c r="C37" s="609" t="s">
        <v>126</v>
      </c>
      <c r="D37" s="514" t="s">
        <v>521</v>
      </c>
      <c r="E37" s="341" t="s">
        <v>89</v>
      </c>
      <c r="F37" s="524" t="s">
        <v>521</v>
      </c>
      <c r="G37" s="610" t="s">
        <v>126</v>
      </c>
      <c r="I37" s="609" t="s">
        <v>126</v>
      </c>
      <c r="J37" s="514">
        <f>IF(_SingleBS,SUM(BS!D37),"-")</f>
        <v>0</v>
      </c>
      <c r="K37" s="337" t="s">
        <v>89</v>
      </c>
      <c r="L37" s="524">
        <f>IF(_SingleBS,SUM(BS!F37),"-")</f>
        <v>0</v>
      </c>
      <c r="M37" s="610" t="s">
        <v>126</v>
      </c>
      <c r="N37" s="339" t="s">
        <v>89</v>
      </c>
    </row>
    <row r="38" spans="3:14" x14ac:dyDescent="0.25">
      <c r="C38" s="609" t="s">
        <v>504</v>
      </c>
      <c r="D38" s="514" t="s">
        <v>521</v>
      </c>
      <c r="E38" s="341" t="s">
        <v>89</v>
      </c>
      <c r="F38" s="524" t="s">
        <v>521</v>
      </c>
      <c r="G38" s="611" t="s">
        <v>965</v>
      </c>
      <c r="I38" s="609" t="s">
        <v>504</v>
      </c>
      <c r="J38" s="514">
        <f>IF(_SingleBS,SUM(BS!D38),"-")</f>
        <v>0</v>
      </c>
      <c r="K38" s="337" t="s">
        <v>89</v>
      </c>
      <c r="L38" s="524">
        <f>IF(_SingleBS,SUM(BS!F38),"-")</f>
        <v>0</v>
      </c>
      <c r="M38" s="611" t="s">
        <v>965</v>
      </c>
      <c r="N38" s="339" t="s">
        <v>89</v>
      </c>
    </row>
    <row r="39" spans="3:14" x14ac:dyDescent="0.25">
      <c r="C39" s="414"/>
      <c r="D39" s="415"/>
      <c r="E39" s="341" t="s">
        <v>89</v>
      </c>
      <c r="F39" s="524" t="s">
        <v>521</v>
      </c>
      <c r="G39" s="611" t="s">
        <v>966</v>
      </c>
      <c r="I39" s="414"/>
      <c r="J39" s="415"/>
      <c r="K39" s="337" t="s">
        <v>89</v>
      </c>
      <c r="L39" s="524">
        <f>IF(_SingleBS,SUM(BS!F39),"-")</f>
        <v>0</v>
      </c>
      <c r="M39" s="611" t="s">
        <v>966</v>
      </c>
      <c r="N39" s="339" t="s">
        <v>89</v>
      </c>
    </row>
    <row r="40" spans="3:14" x14ac:dyDescent="0.25">
      <c r="C40" s="594" t="s">
        <v>127</v>
      </c>
      <c r="D40" s="514" t="s">
        <v>521</v>
      </c>
      <c r="E40" s="341" t="s">
        <v>89</v>
      </c>
      <c r="F40" s="524" t="s">
        <v>521</v>
      </c>
      <c r="G40" s="608" t="s">
        <v>492</v>
      </c>
      <c r="I40" s="594" t="s">
        <v>127</v>
      </c>
      <c r="J40" s="514">
        <f>IF(_SingleBS,SUM(BS!D40),"-")</f>
        <v>0</v>
      </c>
      <c r="K40" s="337" t="s">
        <v>89</v>
      </c>
      <c r="L40" s="524">
        <f>IF(_SingleBS,SUM(BS!F40),"-")</f>
        <v>0</v>
      </c>
      <c r="M40" s="608" t="s">
        <v>492</v>
      </c>
      <c r="N40" s="339" t="s">
        <v>89</v>
      </c>
    </row>
    <row r="41" spans="3:14" x14ac:dyDescent="0.25">
      <c r="C41" s="612" t="s">
        <v>3</v>
      </c>
      <c r="D41" s="518" t="s">
        <v>521</v>
      </c>
      <c r="E41" s="341" t="s">
        <v>89</v>
      </c>
      <c r="F41" s="519" t="s">
        <v>521</v>
      </c>
      <c r="G41" s="613" t="s">
        <v>21</v>
      </c>
      <c r="I41" s="612" t="s">
        <v>3</v>
      </c>
      <c r="J41" s="518">
        <f>IF(_SingleBS,SUM(BS!D41),"-")</f>
        <v>0</v>
      </c>
      <c r="K41" s="337" t="s">
        <v>89</v>
      </c>
      <c r="L41" s="527">
        <f>IF(_SingleBS,SUM(BS!F41),"-")</f>
        <v>0</v>
      </c>
      <c r="M41" s="613" t="s">
        <v>21</v>
      </c>
      <c r="N41" s="339" t="s">
        <v>89</v>
      </c>
    </row>
    <row r="42" spans="3:14" x14ac:dyDescent="0.25">
      <c r="C42" s="614" t="s">
        <v>17</v>
      </c>
      <c r="D42" s="514" t="s">
        <v>521</v>
      </c>
      <c r="E42" s="341" t="s">
        <v>89</v>
      </c>
      <c r="F42" s="528" t="s">
        <v>521</v>
      </c>
      <c r="G42" s="615" t="s">
        <v>22</v>
      </c>
      <c r="I42" s="614" t="s">
        <v>17</v>
      </c>
      <c r="J42" s="514">
        <f>IF(_SingleBS,SUM(BS!D42),"-")</f>
        <v>0</v>
      </c>
      <c r="K42" s="337" t="s">
        <v>89</v>
      </c>
      <c r="L42" s="528">
        <f>IF(_SingleBS,SUM(BS!F42),"-")</f>
        <v>0</v>
      </c>
      <c r="M42" s="615" t="s">
        <v>22</v>
      </c>
      <c r="N42" s="339" t="s">
        <v>89</v>
      </c>
    </row>
    <row r="43" spans="3:14" x14ac:dyDescent="0.25">
      <c r="C43" s="614" t="s">
        <v>12</v>
      </c>
      <c r="D43" s="514" t="s">
        <v>521</v>
      </c>
      <c r="E43" s="341" t="s">
        <v>89</v>
      </c>
      <c r="F43" s="514" t="s">
        <v>521</v>
      </c>
      <c r="G43" s="605" t="s">
        <v>29</v>
      </c>
      <c r="I43" s="614" t="s">
        <v>12</v>
      </c>
      <c r="J43" s="514">
        <f>IF(_SingleBS,SUM(BS!D43),"-")</f>
        <v>0</v>
      </c>
      <c r="K43" s="337" t="s">
        <v>89</v>
      </c>
      <c r="L43" s="514">
        <f>IF(_SingleBS,SUM(BS!F43),"-")</f>
        <v>0</v>
      </c>
      <c r="M43" s="605" t="s">
        <v>29</v>
      </c>
      <c r="N43" s="339" t="s">
        <v>89</v>
      </c>
    </row>
    <row r="44" spans="3:14" x14ac:dyDescent="0.25">
      <c r="C44" s="614" t="s">
        <v>13</v>
      </c>
      <c r="D44" s="514" t="s">
        <v>521</v>
      </c>
      <c r="E44" s="341" t="s">
        <v>89</v>
      </c>
      <c r="F44" s="524" t="s">
        <v>521</v>
      </c>
      <c r="G44" s="605" t="s">
        <v>30</v>
      </c>
      <c r="I44" s="614" t="s">
        <v>13</v>
      </c>
      <c r="J44" s="514">
        <f>IF(_SingleBS,SUM(BS!D44),"-")</f>
        <v>0</v>
      </c>
      <c r="K44" s="337" t="s">
        <v>89</v>
      </c>
      <c r="L44" s="524">
        <f>IF(_SingleBS,SUM(BS!F44),"-")</f>
        <v>0</v>
      </c>
      <c r="M44" s="605" t="s">
        <v>30</v>
      </c>
      <c r="N44" s="339" t="s">
        <v>89</v>
      </c>
    </row>
    <row r="45" spans="3:14" x14ac:dyDescent="0.25">
      <c r="C45" s="414"/>
      <c r="D45" s="415"/>
      <c r="E45" s="341" t="s">
        <v>89</v>
      </c>
      <c r="F45" s="524" t="s">
        <v>521</v>
      </c>
      <c r="G45" s="605" t="s">
        <v>24</v>
      </c>
      <c r="I45" s="414"/>
      <c r="J45" s="415"/>
      <c r="K45" s="337" t="s">
        <v>89</v>
      </c>
      <c r="L45" s="524">
        <f>IF(_SingleBS,SUM(BS!F45),"-")</f>
        <v>0</v>
      </c>
      <c r="M45" s="605" t="s">
        <v>24</v>
      </c>
      <c r="N45" s="339" t="s">
        <v>89</v>
      </c>
    </row>
    <row r="46" spans="3:14" x14ac:dyDescent="0.25">
      <c r="C46" s="614" t="s">
        <v>14</v>
      </c>
      <c r="D46" s="514" t="s">
        <v>521</v>
      </c>
      <c r="E46" s="341" t="s">
        <v>89</v>
      </c>
      <c r="F46" s="524" t="s">
        <v>521</v>
      </c>
      <c r="G46" s="605" t="s">
        <v>31</v>
      </c>
      <c r="I46" s="614" t="s">
        <v>14</v>
      </c>
      <c r="J46" s="514">
        <f>IF(_SingleBS,SUM(BS!D46),"-")</f>
        <v>0</v>
      </c>
      <c r="K46" s="337" t="s">
        <v>89</v>
      </c>
      <c r="L46" s="524">
        <f>IF(_SingleBS,SUM(BS!F46),"-")</f>
        <v>0</v>
      </c>
      <c r="M46" s="605" t="s">
        <v>31</v>
      </c>
      <c r="N46" s="339" t="s">
        <v>89</v>
      </c>
    </row>
    <row r="47" spans="3:14" ht="15" customHeight="1" x14ac:dyDescent="0.25">
      <c r="C47" s="614" t="s">
        <v>15</v>
      </c>
      <c r="D47" s="514" t="s">
        <v>521</v>
      </c>
      <c r="E47" s="341" t="s">
        <v>89</v>
      </c>
      <c r="F47" s="524" t="s">
        <v>521</v>
      </c>
      <c r="G47" s="605" t="s">
        <v>27</v>
      </c>
      <c r="I47" s="614" t="s">
        <v>15</v>
      </c>
      <c r="J47" s="514">
        <f>IF(_SingleBS,SUM(BS!D47),"-")</f>
        <v>0</v>
      </c>
      <c r="K47" s="337" t="s">
        <v>89</v>
      </c>
      <c r="L47" s="524">
        <f>IF(_SingleBS,SUM(BS!F47),"-")</f>
        <v>0</v>
      </c>
      <c r="M47" s="605" t="s">
        <v>27</v>
      </c>
      <c r="N47" s="339" t="s">
        <v>89</v>
      </c>
    </row>
    <row r="48" spans="3:14" ht="14.25" customHeight="1" x14ac:dyDescent="0.25">
      <c r="C48" s="599" t="s">
        <v>1083</v>
      </c>
      <c r="D48" s="514" t="s">
        <v>521</v>
      </c>
      <c r="E48" s="341" t="s">
        <v>89</v>
      </c>
      <c r="F48" s="524" t="s">
        <v>521</v>
      </c>
      <c r="G48" s="617" t="s">
        <v>748</v>
      </c>
      <c r="I48" s="599" t="s">
        <v>1083</v>
      </c>
      <c r="J48" s="514">
        <f>IF(_SingleBS,SUM(BS!D48),"-")</f>
        <v>0</v>
      </c>
      <c r="K48" s="337" t="s">
        <v>89</v>
      </c>
      <c r="L48" s="524">
        <f>IF(_SingleBS,SUM(BS!F48),"-")</f>
        <v>0</v>
      </c>
      <c r="M48" s="617" t="s">
        <v>748</v>
      </c>
      <c r="N48" s="339" t="s">
        <v>89</v>
      </c>
    </row>
    <row r="49" spans="1:14" x14ac:dyDescent="0.25">
      <c r="C49" s="618" t="s">
        <v>18</v>
      </c>
      <c r="D49" s="519" t="s">
        <v>521</v>
      </c>
      <c r="E49" s="341" t="s">
        <v>89</v>
      </c>
      <c r="F49" s="527" t="s">
        <v>521</v>
      </c>
      <c r="G49" s="619" t="s">
        <v>34</v>
      </c>
      <c r="I49" s="618" t="s">
        <v>18</v>
      </c>
      <c r="J49" s="519">
        <f>IF(_SingleBS,SUM(BS!D49),"-")</f>
        <v>0</v>
      </c>
      <c r="K49" s="337" t="s">
        <v>89</v>
      </c>
      <c r="L49" s="527">
        <f>IF(_SingleBS,SUM(BS!F49),"-")</f>
        <v>0</v>
      </c>
      <c r="M49" s="619" t="s">
        <v>34</v>
      </c>
      <c r="N49" s="339" t="s">
        <v>89</v>
      </c>
    </row>
    <row r="50" spans="1:14" x14ac:dyDescent="0.25">
      <c r="C50" s="342" t="s">
        <v>19</v>
      </c>
      <c r="D50" s="448">
        <f>SUM(D6:D10,D11,D26,D27,D30:D31,D32,D41:D49)</f>
        <v>0</v>
      </c>
      <c r="E50" s="343" t="s">
        <v>89</v>
      </c>
      <c r="F50" s="448">
        <f>SUM(F6,F9,F13:F17,F18,F28:F31,F32,F42:F49)</f>
        <v>0</v>
      </c>
      <c r="G50" s="344" t="s">
        <v>35</v>
      </c>
      <c r="I50" s="342" t="s">
        <v>19</v>
      </c>
      <c r="J50" s="448">
        <f>SUM(J6:J10,J11,J26,J27,J30:J31,J32,J41:J49)</f>
        <v>0</v>
      </c>
      <c r="K50" s="338" t="s">
        <v>89</v>
      </c>
      <c r="L50" s="448">
        <f>SUM(L6,L9,L13:L17,L18,L28:L31,L32,L42:L49)</f>
        <v>0</v>
      </c>
      <c r="M50" s="344" t="s">
        <v>35</v>
      </c>
      <c r="N50" s="339" t="s">
        <v>89</v>
      </c>
    </row>
    <row r="51" spans="1:14" x14ac:dyDescent="0.25">
      <c r="N51" s="339" t="s">
        <v>89</v>
      </c>
    </row>
    <row r="52" spans="1:14" x14ac:dyDescent="0.25">
      <c r="A52" s="339" t="s">
        <v>89</v>
      </c>
      <c r="B52" s="339" t="s">
        <v>89</v>
      </c>
      <c r="C52" s="339" t="s">
        <v>89</v>
      </c>
      <c r="D52" s="339" t="s">
        <v>89</v>
      </c>
      <c r="E52" s="339" t="s">
        <v>89</v>
      </c>
      <c r="F52" s="339" t="s">
        <v>89</v>
      </c>
      <c r="G52" s="339" t="s">
        <v>89</v>
      </c>
      <c r="H52" s="339" t="s">
        <v>89</v>
      </c>
      <c r="I52" s="339" t="s">
        <v>89</v>
      </c>
      <c r="J52" s="339" t="s">
        <v>89</v>
      </c>
      <c r="K52" s="339" t="s">
        <v>89</v>
      </c>
      <c r="L52" s="339" t="s">
        <v>89</v>
      </c>
      <c r="M52" s="339" t="s">
        <v>89</v>
      </c>
      <c r="N52" s="339" t="s">
        <v>89</v>
      </c>
    </row>
    <row r="53" spans="1:14" x14ac:dyDescent="0.25">
      <c r="E53" s="300"/>
      <c r="F53" s="300"/>
      <c r="G53" s="300"/>
    </row>
    <row r="54" spans="1:14" x14ac:dyDescent="0.25">
      <c r="C54" s="208"/>
      <c r="E54" s="300"/>
    </row>
    <row r="55" spans="1:14" x14ac:dyDescent="0.25">
      <c r="E55" s="300"/>
    </row>
  </sheetData>
  <pageMargins left="0.25" right="0.25" top="0.75" bottom="0.75" header="0.3" footer="0.3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CCFFFF"/>
  </sheetPr>
  <dimension ref="A1:Q548"/>
  <sheetViews>
    <sheetView topLeftCell="C58" workbookViewId="0">
      <selection activeCell="L1" sqref="L1:M2"/>
    </sheetView>
  </sheetViews>
  <sheetFormatPr defaultRowHeight="15" outlineLevelCol="1" x14ac:dyDescent="0.25"/>
  <cols>
    <col min="1" max="2" width="9.140625" hidden="1" customWidth="1" outlineLevel="1"/>
    <col min="3" max="3" width="9.140625" customWidth="1" collapsed="1"/>
    <col min="4" max="4" width="26.28515625" style="300" customWidth="1"/>
    <col min="5" max="5" width="9.7109375" customWidth="1"/>
    <col min="6" max="10" width="9.7109375" style="208" customWidth="1"/>
    <col min="11" max="11" width="9.7109375" customWidth="1"/>
    <col min="12" max="15" width="9.7109375" style="300" customWidth="1"/>
    <col min="16" max="16" width="2.85546875" customWidth="1"/>
  </cols>
  <sheetData>
    <row r="1" spans="3:16" x14ac:dyDescent="0.25">
      <c r="C1" s="493" t="str">
        <f>Participant!$A$1</f>
        <v>&lt;Participant's name&gt;</v>
      </c>
      <c r="D1" s="510"/>
      <c r="E1" s="495"/>
      <c r="F1" s="495"/>
      <c r="G1" s="495"/>
      <c r="H1" s="495"/>
      <c r="I1" s="495"/>
      <c r="J1" s="495"/>
      <c r="K1" s="495"/>
      <c r="L1" s="495"/>
      <c r="M1" s="495"/>
      <c r="N1" s="495"/>
      <c r="O1" s="485" t="str">
        <f>Participant!$E$1</f>
        <v>2013 - HUF (Thousands)</v>
      </c>
      <c r="P1" s="18" t="s">
        <v>89</v>
      </c>
    </row>
    <row r="2" spans="3:16" ht="15.75" x14ac:dyDescent="0.25">
      <c r="C2" s="486" t="str">
        <f>Participant!$A$2</f>
        <v>-</v>
      </c>
      <c r="D2" s="511"/>
      <c r="E2" s="497"/>
      <c r="F2" s="497"/>
      <c r="G2" s="497" t="str">
        <f>P.Index!D11</f>
        <v>Additional information on end 2013 situation</v>
      </c>
      <c r="H2" s="497"/>
      <c r="I2" s="497"/>
      <c r="J2" s="497"/>
      <c r="K2" s="489"/>
      <c r="L2" s="489"/>
      <c r="M2" s="489"/>
      <c r="N2" s="489"/>
      <c r="O2" s="492" t="str">
        <f>Version</f>
        <v>2013 12 31</v>
      </c>
      <c r="P2" s="18" t="s">
        <v>89</v>
      </c>
    </row>
    <row r="3" spans="3:16" x14ac:dyDescent="0.25">
      <c r="P3" s="18" t="s">
        <v>89</v>
      </c>
    </row>
    <row r="4" spans="3:16" ht="15" customHeight="1" x14ac:dyDescent="0.25">
      <c r="C4" s="1043" t="s">
        <v>900</v>
      </c>
      <c r="D4" s="1044"/>
      <c r="L4" s="928"/>
      <c r="M4" s="928" t="str">
        <f>HYPERLINK("#'P.index'!H10","&gt;&gt; index sheet")</f>
        <v>&gt;&gt; index sheet</v>
      </c>
      <c r="N4" s="402"/>
      <c r="P4" s="18" t="s">
        <v>89</v>
      </c>
    </row>
    <row r="5" spans="3:16" s="300" customFormat="1" ht="15" customHeight="1" x14ac:dyDescent="0.25">
      <c r="C5" s="1045"/>
      <c r="D5" s="1046"/>
      <c r="P5" s="18" t="s">
        <v>89</v>
      </c>
    </row>
    <row r="6" spans="3:16" s="300" customFormat="1" ht="15" customHeight="1" x14ac:dyDescent="0.25">
      <c r="P6" s="18" t="s">
        <v>89</v>
      </c>
    </row>
    <row r="7" spans="3:16" x14ac:dyDescent="0.25">
      <c r="C7" s="1068" t="s">
        <v>924</v>
      </c>
      <c r="D7" s="1069"/>
      <c r="E7" s="829" t="s">
        <v>514</v>
      </c>
      <c r="F7" s="830"/>
      <c r="G7" s="829" t="s">
        <v>504</v>
      </c>
      <c r="H7" s="830"/>
      <c r="I7" s="829" t="s">
        <v>515</v>
      </c>
      <c r="J7" s="830"/>
      <c r="K7" s="829" t="s">
        <v>516</v>
      </c>
      <c r="L7" s="830"/>
      <c r="P7" s="18" t="s">
        <v>89</v>
      </c>
    </row>
    <row r="8" spans="3:16" x14ac:dyDescent="0.25">
      <c r="C8" s="1070"/>
      <c r="D8" s="1071"/>
      <c r="E8" s="831" t="s">
        <v>517</v>
      </c>
      <c r="F8" s="831" t="s">
        <v>518</v>
      </c>
      <c r="G8" s="831" t="s">
        <v>517</v>
      </c>
      <c r="H8" s="831" t="s">
        <v>518</v>
      </c>
      <c r="I8" s="831" t="s">
        <v>517</v>
      </c>
      <c r="J8" s="831" t="s">
        <v>518</v>
      </c>
      <c r="K8" s="831" t="s">
        <v>517</v>
      </c>
      <c r="L8" s="831" t="s">
        <v>518</v>
      </c>
      <c r="P8" s="18" t="s">
        <v>89</v>
      </c>
    </row>
    <row r="9" spans="3:16" x14ac:dyDescent="0.25">
      <c r="C9" s="832" t="s">
        <v>486</v>
      </c>
      <c r="D9" s="833"/>
      <c r="E9" s="451">
        <f t="shared" ref="E9:L9" si="0">SUM(E10:E16)</f>
        <v>0</v>
      </c>
      <c r="F9" s="451">
        <f t="shared" si="0"/>
        <v>0</v>
      </c>
      <c r="G9" s="451">
        <f t="shared" si="0"/>
        <v>0</v>
      </c>
      <c r="H9" s="451">
        <f t="shared" si="0"/>
        <v>0</v>
      </c>
      <c r="I9" s="451">
        <f t="shared" si="0"/>
        <v>0</v>
      </c>
      <c r="J9" s="451">
        <f t="shared" si="0"/>
        <v>0</v>
      </c>
      <c r="K9" s="451">
        <f t="shared" si="0"/>
        <v>0</v>
      </c>
      <c r="L9" s="451">
        <f t="shared" si="0"/>
        <v>0</v>
      </c>
      <c r="P9" s="18" t="s">
        <v>89</v>
      </c>
    </row>
    <row r="10" spans="3:16" x14ac:dyDescent="0.25">
      <c r="C10" s="590" t="s">
        <v>462</v>
      </c>
      <c r="D10" s="605"/>
      <c r="E10" s="316" t="s">
        <v>521</v>
      </c>
      <c r="F10" s="316" t="s">
        <v>521</v>
      </c>
      <c r="G10" s="316" t="s">
        <v>521</v>
      </c>
      <c r="H10" s="316" t="s">
        <v>521</v>
      </c>
      <c r="I10" s="417"/>
      <c r="J10" s="417"/>
      <c r="K10" s="417"/>
      <c r="L10" s="417"/>
      <c r="P10" s="18" t="s">
        <v>89</v>
      </c>
    </row>
    <row r="11" spans="3:16" x14ac:dyDescent="0.25">
      <c r="C11" s="590" t="s">
        <v>463</v>
      </c>
      <c r="D11" s="605"/>
      <c r="E11" s="315" t="s">
        <v>521</v>
      </c>
      <c r="F11" s="315" t="s">
        <v>521</v>
      </c>
      <c r="G11" s="315" t="s">
        <v>521</v>
      </c>
      <c r="H11" s="315" t="s">
        <v>521</v>
      </c>
      <c r="I11" s="315" t="s">
        <v>521</v>
      </c>
      <c r="J11" s="315" t="s">
        <v>521</v>
      </c>
      <c r="K11" s="315" t="s">
        <v>521</v>
      </c>
      <c r="L11" s="315" t="s">
        <v>521</v>
      </c>
      <c r="P11" s="18" t="s">
        <v>89</v>
      </c>
    </row>
    <row r="12" spans="3:16" x14ac:dyDescent="0.25">
      <c r="C12" s="590" t="s">
        <v>464</v>
      </c>
      <c r="D12" s="605"/>
      <c r="E12" s="315" t="s">
        <v>521</v>
      </c>
      <c r="F12" s="315" t="s">
        <v>521</v>
      </c>
      <c r="G12" s="315" t="s">
        <v>521</v>
      </c>
      <c r="H12" s="315" t="s">
        <v>521</v>
      </c>
      <c r="I12" s="315" t="s">
        <v>521</v>
      </c>
      <c r="J12" s="315" t="s">
        <v>521</v>
      </c>
      <c r="K12" s="315" t="s">
        <v>521</v>
      </c>
      <c r="L12" s="315" t="s">
        <v>521</v>
      </c>
      <c r="P12" s="18" t="s">
        <v>89</v>
      </c>
    </row>
    <row r="13" spans="3:16" x14ac:dyDescent="0.25">
      <c r="C13" s="590" t="s">
        <v>465</v>
      </c>
      <c r="D13" s="605"/>
      <c r="E13" s="315" t="s">
        <v>521</v>
      </c>
      <c r="F13" s="315" t="s">
        <v>521</v>
      </c>
      <c r="G13" s="315" t="s">
        <v>521</v>
      </c>
      <c r="H13" s="315" t="s">
        <v>521</v>
      </c>
      <c r="I13" s="315" t="s">
        <v>521</v>
      </c>
      <c r="J13" s="315" t="s">
        <v>521</v>
      </c>
      <c r="K13" s="315" t="s">
        <v>521</v>
      </c>
      <c r="L13" s="315" t="s">
        <v>521</v>
      </c>
      <c r="P13" s="18" t="s">
        <v>89</v>
      </c>
    </row>
    <row r="14" spans="3:16" x14ac:dyDescent="0.25">
      <c r="C14" s="590" t="s">
        <v>466</v>
      </c>
      <c r="D14" s="605"/>
      <c r="E14" s="315" t="s">
        <v>521</v>
      </c>
      <c r="F14" s="315" t="s">
        <v>521</v>
      </c>
      <c r="G14" s="315" t="s">
        <v>521</v>
      </c>
      <c r="H14" s="315" t="s">
        <v>521</v>
      </c>
      <c r="I14" s="315" t="s">
        <v>521</v>
      </c>
      <c r="J14" s="315" t="s">
        <v>521</v>
      </c>
      <c r="K14" s="315" t="s">
        <v>521</v>
      </c>
      <c r="L14" s="315" t="s">
        <v>521</v>
      </c>
      <c r="P14" s="18" t="s">
        <v>89</v>
      </c>
    </row>
    <row r="15" spans="3:16" x14ac:dyDescent="0.25">
      <c r="C15" s="590" t="s">
        <v>467</v>
      </c>
      <c r="D15" s="605"/>
      <c r="E15" s="315" t="s">
        <v>521</v>
      </c>
      <c r="F15" s="315" t="s">
        <v>521</v>
      </c>
      <c r="G15" s="315" t="s">
        <v>521</v>
      </c>
      <c r="H15" s="315" t="s">
        <v>521</v>
      </c>
      <c r="I15" s="315" t="s">
        <v>521</v>
      </c>
      <c r="J15" s="315" t="s">
        <v>521</v>
      </c>
      <c r="K15" s="315" t="s">
        <v>521</v>
      </c>
      <c r="L15" s="315" t="s">
        <v>521</v>
      </c>
      <c r="P15" s="18" t="s">
        <v>89</v>
      </c>
    </row>
    <row r="16" spans="3:16" x14ac:dyDescent="0.25">
      <c r="C16" s="592" t="s">
        <v>21</v>
      </c>
      <c r="D16" s="619"/>
      <c r="E16" s="317" t="s">
        <v>521</v>
      </c>
      <c r="F16" s="317" t="s">
        <v>521</v>
      </c>
      <c r="G16" s="317" t="s">
        <v>521</v>
      </c>
      <c r="H16" s="317" t="s">
        <v>521</v>
      </c>
      <c r="I16" s="317" t="s">
        <v>521</v>
      </c>
      <c r="J16" s="317" t="s">
        <v>521</v>
      </c>
      <c r="K16" s="317" t="s">
        <v>521</v>
      </c>
      <c r="L16" s="317" t="s">
        <v>521</v>
      </c>
      <c r="P16" s="18" t="s">
        <v>89</v>
      </c>
    </row>
    <row r="17" spans="3:16" x14ac:dyDescent="0.25">
      <c r="P17" s="18" t="s">
        <v>89</v>
      </c>
    </row>
    <row r="18" spans="3:16" s="300" customFormat="1" x14ac:dyDescent="0.25">
      <c r="C18" s="327" t="s">
        <v>925</v>
      </c>
      <c r="D18" s="46"/>
      <c r="E18" s="30"/>
      <c r="P18" s="18" t="s">
        <v>89</v>
      </c>
    </row>
    <row r="19" spans="3:16" s="300" customFormat="1" x14ac:dyDescent="0.25">
      <c r="C19" s="972" t="s">
        <v>915</v>
      </c>
      <c r="D19" s="523"/>
      <c r="E19" s="528" t="s">
        <v>521</v>
      </c>
      <c r="P19" s="18" t="s">
        <v>89</v>
      </c>
    </row>
    <row r="20" spans="3:16" s="300" customFormat="1" x14ac:dyDescent="0.25">
      <c r="C20" s="972" t="s">
        <v>916</v>
      </c>
      <c r="D20" s="523"/>
      <c r="E20" s="514" t="s">
        <v>521</v>
      </c>
      <c r="P20" s="18" t="s">
        <v>89</v>
      </c>
    </row>
    <row r="21" spans="3:16" s="300" customFormat="1" x14ac:dyDescent="0.25">
      <c r="C21" s="972" t="s">
        <v>917</v>
      </c>
      <c r="D21" s="523"/>
      <c r="E21" s="514" t="s">
        <v>521</v>
      </c>
      <c r="P21" s="18" t="s">
        <v>89</v>
      </c>
    </row>
    <row r="22" spans="3:16" s="300" customFormat="1" x14ac:dyDescent="0.25">
      <c r="C22" s="972" t="s">
        <v>918</v>
      </c>
      <c r="D22" s="523"/>
      <c r="E22" s="514" t="s">
        <v>521</v>
      </c>
      <c r="P22" s="18" t="s">
        <v>89</v>
      </c>
    </row>
    <row r="23" spans="3:16" s="300" customFormat="1" x14ac:dyDescent="0.25">
      <c r="C23" s="972" t="s">
        <v>919</v>
      </c>
      <c r="D23" s="523"/>
      <c r="E23" s="514" t="s">
        <v>521</v>
      </c>
      <c r="P23" s="18" t="s">
        <v>89</v>
      </c>
    </row>
    <row r="24" spans="3:16" s="300" customFormat="1" x14ac:dyDescent="0.25">
      <c r="C24" s="972" t="s">
        <v>920</v>
      </c>
      <c r="D24" s="523"/>
      <c r="E24" s="514" t="s">
        <v>521</v>
      </c>
      <c r="P24" s="18" t="s">
        <v>89</v>
      </c>
    </row>
    <row r="25" spans="3:16" s="300" customFormat="1" x14ac:dyDescent="0.25">
      <c r="C25" s="972" t="s">
        <v>921</v>
      </c>
      <c r="D25" s="523"/>
      <c r="E25" s="514" t="s">
        <v>521</v>
      </c>
      <c r="P25" s="18" t="s">
        <v>89</v>
      </c>
    </row>
    <row r="26" spans="3:16" s="300" customFormat="1" x14ac:dyDescent="0.25">
      <c r="C26" s="972" t="s">
        <v>922</v>
      </c>
      <c r="D26" s="523"/>
      <c r="E26" s="514" t="s">
        <v>521</v>
      </c>
      <c r="P26" s="18" t="s">
        <v>89</v>
      </c>
    </row>
    <row r="27" spans="3:16" s="300" customFormat="1" x14ac:dyDescent="0.25">
      <c r="C27" s="972" t="s">
        <v>923</v>
      </c>
      <c r="D27" s="523"/>
      <c r="E27" s="514" t="s">
        <v>521</v>
      </c>
      <c r="P27" s="18" t="s">
        <v>89</v>
      </c>
    </row>
    <row r="28" spans="3:16" s="300" customFormat="1" x14ac:dyDescent="0.25">
      <c r="C28" s="834" t="s">
        <v>926</v>
      </c>
      <c r="D28" s="835"/>
      <c r="E28" s="519" t="s">
        <v>521</v>
      </c>
      <c r="P28" s="18" t="s">
        <v>89</v>
      </c>
    </row>
    <row r="29" spans="3:16" s="300" customFormat="1" x14ac:dyDescent="0.25">
      <c r="C29" s="834" t="s">
        <v>927</v>
      </c>
      <c r="D29" s="835"/>
      <c r="E29" s="456">
        <f>SUM(E19:E28)</f>
        <v>0</v>
      </c>
      <c r="P29" s="18" t="s">
        <v>89</v>
      </c>
    </row>
    <row r="30" spans="3:16" s="300" customFormat="1" x14ac:dyDescent="0.25">
      <c r="C30" s="836" t="s">
        <v>914</v>
      </c>
      <c r="D30" s="837"/>
      <c r="E30" s="325" t="s">
        <v>521</v>
      </c>
      <c r="P30" s="18" t="s">
        <v>89</v>
      </c>
    </row>
    <row r="31" spans="3:16" s="300" customFormat="1" x14ac:dyDescent="0.25">
      <c r="P31" s="18" t="s">
        <v>89</v>
      </c>
    </row>
    <row r="32" spans="3:16" x14ac:dyDescent="0.25">
      <c r="C32" s="1043" t="s">
        <v>935</v>
      </c>
      <c r="D32" s="1044"/>
      <c r="P32" s="18" t="s">
        <v>89</v>
      </c>
    </row>
    <row r="33" spans="3:16" x14ac:dyDescent="0.25">
      <c r="C33" s="1045"/>
      <c r="D33" s="1046"/>
      <c r="P33" s="18" t="s">
        <v>89</v>
      </c>
    </row>
    <row r="34" spans="3:16" ht="9" customHeight="1" x14ac:dyDescent="0.25">
      <c r="P34" s="18" t="s">
        <v>89</v>
      </c>
    </row>
    <row r="35" spans="3:16" ht="15" customHeight="1" x14ac:dyDescent="0.25">
      <c r="C35" s="1081" t="s">
        <v>938</v>
      </c>
      <c r="D35" s="1050" t="s">
        <v>928</v>
      </c>
      <c r="E35" s="1066" t="s">
        <v>904</v>
      </c>
      <c r="F35" s="1067"/>
      <c r="G35" s="1087" t="s">
        <v>899</v>
      </c>
      <c r="H35" s="1088"/>
      <c r="I35" s="1066" t="s">
        <v>433</v>
      </c>
      <c r="J35" s="1082"/>
      <c r="K35" s="1082"/>
      <c r="L35" s="1082"/>
      <c r="M35" s="1067"/>
      <c r="P35" s="18" t="s">
        <v>89</v>
      </c>
    </row>
    <row r="36" spans="3:16" x14ac:dyDescent="0.25">
      <c r="C36" s="1081"/>
      <c r="D36" s="1078"/>
      <c r="E36" s="1064" t="s">
        <v>903</v>
      </c>
      <c r="F36" s="1064" t="s">
        <v>902</v>
      </c>
      <c r="G36" s="1079" t="s">
        <v>906</v>
      </c>
      <c r="H36" s="1079" t="s">
        <v>520</v>
      </c>
      <c r="I36" s="1083" t="s">
        <v>436</v>
      </c>
      <c r="J36" s="1084"/>
      <c r="K36" s="1089" t="s">
        <v>75</v>
      </c>
      <c r="L36" s="1089" t="s">
        <v>905</v>
      </c>
      <c r="M36" s="1085" t="s">
        <v>901</v>
      </c>
      <c r="P36" s="18" t="s">
        <v>89</v>
      </c>
    </row>
    <row r="37" spans="3:16" ht="19.5" customHeight="1" x14ac:dyDescent="0.25">
      <c r="C37" s="1081"/>
      <c r="D37" s="1051"/>
      <c r="E37" s="1065"/>
      <c r="F37" s="1065"/>
      <c r="G37" s="1080"/>
      <c r="H37" s="1080"/>
      <c r="I37" s="318" t="s">
        <v>434</v>
      </c>
      <c r="J37" s="318" t="s">
        <v>435</v>
      </c>
      <c r="K37" s="1090"/>
      <c r="L37" s="1090"/>
      <c r="M37" s="1086"/>
      <c r="P37" s="18" t="s">
        <v>89</v>
      </c>
    </row>
    <row r="38" spans="3:16" x14ac:dyDescent="0.25">
      <c r="C38" s="1075" t="s">
        <v>494</v>
      </c>
      <c r="D38" s="651" t="s">
        <v>347</v>
      </c>
      <c r="E38" s="838" t="s">
        <v>38</v>
      </c>
      <c r="F38" s="838" t="s">
        <v>38</v>
      </c>
      <c r="G38" s="319" t="s">
        <v>521</v>
      </c>
      <c r="H38" s="319" t="s">
        <v>521</v>
      </c>
      <c r="I38" s="319" t="s">
        <v>521</v>
      </c>
      <c r="J38" s="319" t="s">
        <v>521</v>
      </c>
      <c r="K38" s="319" t="s">
        <v>521</v>
      </c>
      <c r="L38" s="319" t="s">
        <v>521</v>
      </c>
      <c r="M38" s="319" t="s">
        <v>521</v>
      </c>
      <c r="P38" s="18" t="s">
        <v>89</v>
      </c>
    </row>
    <row r="39" spans="3:16" x14ac:dyDescent="0.25">
      <c r="C39" s="1073"/>
      <c r="D39" s="839" t="s">
        <v>348</v>
      </c>
      <c r="E39" s="838" t="s">
        <v>38</v>
      </c>
      <c r="F39" s="838" t="s">
        <v>38</v>
      </c>
      <c r="G39" s="319" t="s">
        <v>521</v>
      </c>
      <c r="H39" s="319" t="s">
        <v>521</v>
      </c>
      <c r="I39" s="319" t="s">
        <v>521</v>
      </c>
      <c r="J39" s="319" t="s">
        <v>521</v>
      </c>
      <c r="K39" s="319" t="s">
        <v>521</v>
      </c>
      <c r="L39" s="319" t="s">
        <v>521</v>
      </c>
      <c r="M39" s="319" t="s">
        <v>521</v>
      </c>
      <c r="P39" s="18" t="s">
        <v>89</v>
      </c>
    </row>
    <row r="40" spans="3:16" x14ac:dyDescent="0.25">
      <c r="C40" s="1073"/>
      <c r="D40" s="839" t="s">
        <v>374</v>
      </c>
      <c r="E40" s="838" t="s">
        <v>42</v>
      </c>
      <c r="F40" s="838" t="s">
        <v>42</v>
      </c>
      <c r="G40" s="319" t="s">
        <v>521</v>
      </c>
      <c r="H40" s="319" t="s">
        <v>521</v>
      </c>
      <c r="I40" s="319" t="s">
        <v>521</v>
      </c>
      <c r="J40" s="319" t="s">
        <v>521</v>
      </c>
      <c r="K40" s="319" t="s">
        <v>521</v>
      </c>
      <c r="L40" s="319" t="s">
        <v>521</v>
      </c>
      <c r="M40" s="319" t="s">
        <v>521</v>
      </c>
      <c r="P40" s="18" t="s">
        <v>89</v>
      </c>
    </row>
    <row r="41" spans="3:16" x14ac:dyDescent="0.25">
      <c r="C41" s="1073"/>
      <c r="D41" s="839" t="s">
        <v>349</v>
      </c>
      <c r="E41" s="838" t="s">
        <v>38</v>
      </c>
      <c r="F41" s="838" t="s">
        <v>48</v>
      </c>
      <c r="G41" s="319" t="s">
        <v>521</v>
      </c>
      <c r="H41" s="319" t="s">
        <v>521</v>
      </c>
      <c r="I41" s="319" t="s">
        <v>521</v>
      </c>
      <c r="J41" s="319" t="s">
        <v>521</v>
      </c>
      <c r="K41" s="319" t="s">
        <v>521</v>
      </c>
      <c r="L41" s="319" t="s">
        <v>521</v>
      </c>
      <c r="M41" s="319" t="s">
        <v>521</v>
      </c>
      <c r="P41" s="18" t="s">
        <v>89</v>
      </c>
    </row>
    <row r="42" spans="3:16" x14ac:dyDescent="0.25">
      <c r="C42" s="1073"/>
      <c r="D42" s="839" t="s">
        <v>385</v>
      </c>
      <c r="E42" s="838" t="s">
        <v>43</v>
      </c>
      <c r="F42" s="838" t="s">
        <v>43</v>
      </c>
      <c r="G42" s="319" t="s">
        <v>521</v>
      </c>
      <c r="H42" s="319" t="s">
        <v>521</v>
      </c>
      <c r="I42" s="319" t="s">
        <v>521</v>
      </c>
      <c r="J42" s="319" t="s">
        <v>521</v>
      </c>
      <c r="K42" s="319" t="s">
        <v>521</v>
      </c>
      <c r="L42" s="319" t="s">
        <v>521</v>
      </c>
      <c r="M42" s="319" t="s">
        <v>521</v>
      </c>
      <c r="P42" s="18" t="s">
        <v>89</v>
      </c>
    </row>
    <row r="43" spans="3:16" x14ac:dyDescent="0.25">
      <c r="C43" s="1073"/>
      <c r="D43" s="839" t="s">
        <v>386</v>
      </c>
      <c r="E43" s="838" t="s">
        <v>48</v>
      </c>
      <c r="F43" s="838" t="s">
        <v>48</v>
      </c>
      <c r="G43" s="319" t="s">
        <v>521</v>
      </c>
      <c r="H43" s="319" t="s">
        <v>521</v>
      </c>
      <c r="I43" s="319" t="s">
        <v>521</v>
      </c>
      <c r="J43" s="319" t="s">
        <v>521</v>
      </c>
      <c r="K43" s="319" t="s">
        <v>521</v>
      </c>
      <c r="L43" s="319" t="s">
        <v>521</v>
      </c>
      <c r="M43" s="319" t="s">
        <v>521</v>
      </c>
      <c r="P43" s="18" t="s">
        <v>89</v>
      </c>
    </row>
    <row r="44" spans="3:16" x14ac:dyDescent="0.25">
      <c r="C44" s="1073"/>
      <c r="D44" s="839" t="s">
        <v>350</v>
      </c>
      <c r="E44" s="838" t="s">
        <v>38</v>
      </c>
      <c r="F44" s="838" t="s">
        <v>38</v>
      </c>
      <c r="G44" s="319" t="s">
        <v>521</v>
      </c>
      <c r="H44" s="319" t="s">
        <v>521</v>
      </c>
      <c r="I44" s="319" t="s">
        <v>521</v>
      </c>
      <c r="J44" s="319" t="s">
        <v>521</v>
      </c>
      <c r="K44" s="319" t="s">
        <v>521</v>
      </c>
      <c r="L44" s="319" t="s">
        <v>521</v>
      </c>
      <c r="M44" s="319" t="s">
        <v>521</v>
      </c>
      <c r="P44" s="18" t="s">
        <v>89</v>
      </c>
    </row>
    <row r="45" spans="3:16" x14ac:dyDescent="0.25">
      <c r="C45" s="1073"/>
      <c r="D45" s="839" t="s">
        <v>351</v>
      </c>
      <c r="E45" s="838" t="s">
        <v>38</v>
      </c>
      <c r="F45" s="838" t="s">
        <v>38</v>
      </c>
      <c r="G45" s="319" t="s">
        <v>521</v>
      </c>
      <c r="H45" s="319" t="s">
        <v>521</v>
      </c>
      <c r="I45" s="319" t="s">
        <v>521</v>
      </c>
      <c r="J45" s="319" t="s">
        <v>521</v>
      </c>
      <c r="K45" s="319" t="s">
        <v>521</v>
      </c>
      <c r="L45" s="319" t="s">
        <v>521</v>
      </c>
      <c r="M45" s="319" t="s">
        <v>521</v>
      </c>
      <c r="P45" s="18" t="s">
        <v>89</v>
      </c>
    </row>
    <row r="46" spans="3:16" x14ac:dyDescent="0.25">
      <c r="C46" s="1073"/>
      <c r="D46" s="839" t="s">
        <v>73</v>
      </c>
      <c r="E46" s="838" t="s">
        <v>38</v>
      </c>
      <c r="F46" s="838" t="s">
        <v>38</v>
      </c>
      <c r="G46" s="319" t="s">
        <v>521</v>
      </c>
      <c r="H46" s="319" t="s">
        <v>521</v>
      </c>
      <c r="I46" s="319" t="s">
        <v>521</v>
      </c>
      <c r="J46" s="319" t="s">
        <v>521</v>
      </c>
      <c r="K46" s="319" t="s">
        <v>521</v>
      </c>
      <c r="L46" s="319" t="s">
        <v>521</v>
      </c>
      <c r="M46" s="319" t="s">
        <v>521</v>
      </c>
      <c r="P46" s="18" t="s">
        <v>89</v>
      </c>
    </row>
    <row r="47" spans="3:16" x14ac:dyDescent="0.25">
      <c r="C47" s="1073"/>
      <c r="D47" s="839" t="s">
        <v>72</v>
      </c>
      <c r="E47" s="838" t="s">
        <v>38</v>
      </c>
      <c r="F47" s="838" t="s">
        <v>38</v>
      </c>
      <c r="G47" s="319" t="s">
        <v>521</v>
      </c>
      <c r="H47" s="319" t="s">
        <v>521</v>
      </c>
      <c r="I47" s="319" t="s">
        <v>521</v>
      </c>
      <c r="J47" s="319" t="s">
        <v>521</v>
      </c>
      <c r="K47" s="319" t="s">
        <v>521</v>
      </c>
      <c r="L47" s="319" t="s">
        <v>521</v>
      </c>
      <c r="M47" s="319" t="s">
        <v>521</v>
      </c>
      <c r="P47" s="18" t="s">
        <v>89</v>
      </c>
    </row>
    <row r="48" spans="3:16" x14ac:dyDescent="0.25">
      <c r="C48" s="1073"/>
      <c r="D48" s="839" t="s">
        <v>352</v>
      </c>
      <c r="E48" s="838" t="s">
        <v>38</v>
      </c>
      <c r="F48" s="838" t="s">
        <v>38</v>
      </c>
      <c r="G48" s="319" t="s">
        <v>521</v>
      </c>
      <c r="H48" s="319" t="s">
        <v>521</v>
      </c>
      <c r="I48" s="319" t="s">
        <v>521</v>
      </c>
      <c r="J48" s="319" t="s">
        <v>521</v>
      </c>
      <c r="K48" s="319" t="s">
        <v>521</v>
      </c>
      <c r="L48" s="319" t="s">
        <v>521</v>
      </c>
      <c r="M48" s="319" t="s">
        <v>521</v>
      </c>
      <c r="P48" s="18" t="s">
        <v>89</v>
      </c>
    </row>
    <row r="49" spans="3:16" x14ac:dyDescent="0.25">
      <c r="C49" s="1073"/>
      <c r="D49" s="839" t="s">
        <v>393</v>
      </c>
      <c r="E49" s="838" t="s">
        <v>49</v>
      </c>
      <c r="F49" s="838" t="s">
        <v>49</v>
      </c>
      <c r="G49" s="319" t="s">
        <v>521</v>
      </c>
      <c r="H49" s="319" t="s">
        <v>521</v>
      </c>
      <c r="I49" s="319" t="s">
        <v>521</v>
      </c>
      <c r="J49" s="319" t="s">
        <v>521</v>
      </c>
      <c r="K49" s="319" t="s">
        <v>521</v>
      </c>
      <c r="L49" s="319" t="s">
        <v>521</v>
      </c>
      <c r="M49" s="319" t="s">
        <v>521</v>
      </c>
      <c r="P49" s="18" t="s">
        <v>89</v>
      </c>
    </row>
    <row r="50" spans="3:16" x14ac:dyDescent="0.25">
      <c r="C50" s="1073"/>
      <c r="D50" s="839" t="s">
        <v>398</v>
      </c>
      <c r="E50" s="838" t="s">
        <v>44</v>
      </c>
      <c r="F50" s="838" t="s">
        <v>44</v>
      </c>
      <c r="G50" s="319" t="s">
        <v>521</v>
      </c>
      <c r="H50" s="319" t="s">
        <v>521</v>
      </c>
      <c r="I50" s="319" t="s">
        <v>521</v>
      </c>
      <c r="J50" s="319" t="s">
        <v>521</v>
      </c>
      <c r="K50" s="319" t="s">
        <v>521</v>
      </c>
      <c r="L50" s="319" t="s">
        <v>521</v>
      </c>
      <c r="M50" s="319" t="s">
        <v>521</v>
      </c>
      <c r="P50" s="18" t="s">
        <v>89</v>
      </c>
    </row>
    <row r="51" spans="3:16" x14ac:dyDescent="0.25">
      <c r="C51" s="1073"/>
      <c r="D51" s="839" t="s">
        <v>453</v>
      </c>
      <c r="E51" s="838" t="s">
        <v>38</v>
      </c>
      <c r="F51" s="838" t="s">
        <v>38</v>
      </c>
      <c r="G51" s="319" t="s">
        <v>521</v>
      </c>
      <c r="H51" s="319" t="s">
        <v>521</v>
      </c>
      <c r="I51" s="319" t="s">
        <v>521</v>
      </c>
      <c r="J51" s="319" t="s">
        <v>521</v>
      </c>
      <c r="K51" s="319" t="s">
        <v>521</v>
      </c>
      <c r="L51" s="319" t="s">
        <v>521</v>
      </c>
      <c r="M51" s="319" t="s">
        <v>521</v>
      </c>
      <c r="P51" s="18" t="s">
        <v>89</v>
      </c>
    </row>
    <row r="52" spans="3:16" x14ac:dyDescent="0.25">
      <c r="C52" s="1073"/>
      <c r="D52" s="839" t="s">
        <v>74</v>
      </c>
      <c r="E52" s="838" t="s">
        <v>38</v>
      </c>
      <c r="F52" s="838" t="s">
        <v>38</v>
      </c>
      <c r="G52" s="319" t="s">
        <v>521</v>
      </c>
      <c r="H52" s="319" t="s">
        <v>521</v>
      </c>
      <c r="I52" s="319" t="s">
        <v>521</v>
      </c>
      <c r="J52" s="319" t="s">
        <v>521</v>
      </c>
      <c r="K52" s="319" t="s">
        <v>521</v>
      </c>
      <c r="L52" s="319" t="s">
        <v>521</v>
      </c>
      <c r="M52" s="319" t="s">
        <v>521</v>
      </c>
      <c r="P52" s="18" t="s">
        <v>89</v>
      </c>
    </row>
    <row r="53" spans="3:16" x14ac:dyDescent="0.25">
      <c r="C53" s="1073"/>
      <c r="D53" s="839" t="s">
        <v>408</v>
      </c>
      <c r="E53" s="838" t="s">
        <v>47</v>
      </c>
      <c r="F53" s="838" t="s">
        <v>47</v>
      </c>
      <c r="G53" s="319" t="s">
        <v>521</v>
      </c>
      <c r="H53" s="319" t="s">
        <v>521</v>
      </c>
      <c r="I53" s="319" t="s">
        <v>521</v>
      </c>
      <c r="J53" s="319" t="s">
        <v>521</v>
      </c>
      <c r="K53" s="319" t="s">
        <v>521</v>
      </c>
      <c r="L53" s="319" t="s">
        <v>521</v>
      </c>
      <c r="M53" s="319" t="s">
        <v>521</v>
      </c>
      <c r="P53" s="18" t="s">
        <v>89</v>
      </c>
    </row>
    <row r="54" spans="3:16" x14ac:dyDescent="0.25">
      <c r="C54" s="1073"/>
      <c r="D54" s="839" t="s">
        <v>380</v>
      </c>
      <c r="E54" s="838" t="s">
        <v>236</v>
      </c>
      <c r="F54" s="838" t="s">
        <v>236</v>
      </c>
      <c r="G54" s="319" t="s">
        <v>521</v>
      </c>
      <c r="H54" s="319" t="s">
        <v>521</v>
      </c>
      <c r="I54" s="319" t="s">
        <v>521</v>
      </c>
      <c r="J54" s="319" t="s">
        <v>521</v>
      </c>
      <c r="K54" s="319" t="s">
        <v>521</v>
      </c>
      <c r="L54" s="319" t="s">
        <v>521</v>
      </c>
      <c r="M54" s="319" t="s">
        <v>521</v>
      </c>
      <c r="P54" s="18" t="s">
        <v>89</v>
      </c>
    </row>
    <row r="55" spans="3:16" x14ac:dyDescent="0.25">
      <c r="C55" s="1073"/>
      <c r="D55" s="839" t="s">
        <v>407</v>
      </c>
      <c r="E55" s="838" t="s">
        <v>50</v>
      </c>
      <c r="F55" s="838" t="s">
        <v>50</v>
      </c>
      <c r="G55" s="319" t="s">
        <v>521</v>
      </c>
      <c r="H55" s="319" t="s">
        <v>521</v>
      </c>
      <c r="I55" s="319" t="s">
        <v>521</v>
      </c>
      <c r="J55" s="319" t="s">
        <v>521</v>
      </c>
      <c r="K55" s="319" t="s">
        <v>521</v>
      </c>
      <c r="L55" s="319" t="s">
        <v>521</v>
      </c>
      <c r="M55" s="319" t="s">
        <v>521</v>
      </c>
      <c r="P55" s="18" t="s">
        <v>89</v>
      </c>
    </row>
    <row r="56" spans="3:16" x14ac:dyDescent="0.25">
      <c r="C56" s="1073"/>
      <c r="D56" s="839" t="s">
        <v>353</v>
      </c>
      <c r="E56" s="838" t="s">
        <v>38</v>
      </c>
      <c r="F56" s="838" t="s">
        <v>38</v>
      </c>
      <c r="G56" s="319" t="s">
        <v>521</v>
      </c>
      <c r="H56" s="319" t="s">
        <v>521</v>
      </c>
      <c r="I56" s="319" t="s">
        <v>521</v>
      </c>
      <c r="J56" s="319" t="s">
        <v>521</v>
      </c>
      <c r="K56" s="319" t="s">
        <v>521</v>
      </c>
      <c r="L56" s="319" t="s">
        <v>521</v>
      </c>
      <c r="M56" s="319" t="s">
        <v>521</v>
      </c>
      <c r="P56" s="18" t="s">
        <v>89</v>
      </c>
    </row>
    <row r="57" spans="3:16" x14ac:dyDescent="0.25">
      <c r="C57" s="1073"/>
      <c r="D57" s="839" t="s">
        <v>354</v>
      </c>
      <c r="E57" s="838" t="s">
        <v>38</v>
      </c>
      <c r="F57" s="838" t="s">
        <v>38</v>
      </c>
      <c r="G57" s="319" t="s">
        <v>521</v>
      </c>
      <c r="H57" s="319" t="s">
        <v>521</v>
      </c>
      <c r="I57" s="319" t="s">
        <v>521</v>
      </c>
      <c r="J57" s="319" t="s">
        <v>521</v>
      </c>
      <c r="K57" s="319" t="s">
        <v>521</v>
      </c>
      <c r="L57" s="319" t="s">
        <v>521</v>
      </c>
      <c r="M57" s="319" t="s">
        <v>521</v>
      </c>
      <c r="P57" s="18" t="s">
        <v>89</v>
      </c>
    </row>
    <row r="58" spans="3:16" x14ac:dyDescent="0.25">
      <c r="C58" s="1073"/>
      <c r="D58" s="839" t="s">
        <v>355</v>
      </c>
      <c r="E58" s="838" t="s">
        <v>38</v>
      </c>
      <c r="F58" s="838" t="s">
        <v>38</v>
      </c>
      <c r="G58" s="319" t="s">
        <v>521</v>
      </c>
      <c r="H58" s="319" t="s">
        <v>521</v>
      </c>
      <c r="I58" s="319" t="s">
        <v>521</v>
      </c>
      <c r="J58" s="319" t="s">
        <v>521</v>
      </c>
      <c r="K58" s="319" t="s">
        <v>521</v>
      </c>
      <c r="L58" s="319" t="s">
        <v>521</v>
      </c>
      <c r="M58" s="319" t="s">
        <v>521</v>
      </c>
      <c r="P58" s="18" t="s">
        <v>89</v>
      </c>
    </row>
    <row r="59" spans="3:16" x14ac:dyDescent="0.25">
      <c r="C59" s="1073"/>
      <c r="D59" s="839" t="s">
        <v>413</v>
      </c>
      <c r="E59" s="838" t="s">
        <v>40</v>
      </c>
      <c r="F59" s="838" t="s">
        <v>40</v>
      </c>
      <c r="G59" s="319" t="s">
        <v>521</v>
      </c>
      <c r="H59" s="319" t="s">
        <v>521</v>
      </c>
      <c r="I59" s="319" t="s">
        <v>521</v>
      </c>
      <c r="J59" s="319" t="s">
        <v>521</v>
      </c>
      <c r="K59" s="319" t="s">
        <v>521</v>
      </c>
      <c r="L59" s="319" t="s">
        <v>521</v>
      </c>
      <c r="M59" s="319" t="s">
        <v>521</v>
      </c>
      <c r="P59" s="18" t="s">
        <v>89</v>
      </c>
    </row>
    <row r="60" spans="3:16" x14ac:dyDescent="0.25">
      <c r="C60" s="1073"/>
      <c r="D60" s="839" t="s">
        <v>418</v>
      </c>
      <c r="E60" s="838" t="s">
        <v>46</v>
      </c>
      <c r="F60" s="838" t="s">
        <v>46</v>
      </c>
      <c r="G60" s="319" t="s">
        <v>521</v>
      </c>
      <c r="H60" s="319" t="s">
        <v>521</v>
      </c>
      <c r="I60" s="319" t="s">
        <v>521</v>
      </c>
      <c r="J60" s="319" t="s">
        <v>521</v>
      </c>
      <c r="K60" s="319" t="s">
        <v>521</v>
      </c>
      <c r="L60" s="319" t="s">
        <v>521</v>
      </c>
      <c r="M60" s="319" t="s">
        <v>521</v>
      </c>
      <c r="P60" s="18" t="s">
        <v>89</v>
      </c>
    </row>
    <row r="61" spans="3:16" x14ac:dyDescent="0.25">
      <c r="C61" s="1073"/>
      <c r="D61" s="839" t="s">
        <v>356</v>
      </c>
      <c r="E61" s="838" t="s">
        <v>38</v>
      </c>
      <c r="F61" s="838" t="s">
        <v>38</v>
      </c>
      <c r="G61" s="319" t="s">
        <v>521</v>
      </c>
      <c r="H61" s="319" t="s">
        <v>521</v>
      </c>
      <c r="I61" s="319" t="s">
        <v>521</v>
      </c>
      <c r="J61" s="319" t="s">
        <v>521</v>
      </c>
      <c r="K61" s="319" t="s">
        <v>521</v>
      </c>
      <c r="L61" s="319" t="s">
        <v>521</v>
      </c>
      <c r="M61" s="319" t="s">
        <v>521</v>
      </c>
      <c r="P61" s="18" t="s">
        <v>89</v>
      </c>
    </row>
    <row r="62" spans="3:16" x14ac:dyDescent="0.25">
      <c r="C62" s="1073"/>
      <c r="D62" s="839" t="s">
        <v>420</v>
      </c>
      <c r="E62" s="838" t="s">
        <v>51</v>
      </c>
      <c r="F62" s="838" t="s">
        <v>51</v>
      </c>
      <c r="G62" s="319" t="s">
        <v>521</v>
      </c>
      <c r="H62" s="319" t="s">
        <v>521</v>
      </c>
      <c r="I62" s="319" t="s">
        <v>521</v>
      </c>
      <c r="J62" s="319" t="s">
        <v>521</v>
      </c>
      <c r="K62" s="319" t="s">
        <v>521</v>
      </c>
      <c r="L62" s="319" t="s">
        <v>521</v>
      </c>
      <c r="M62" s="319" t="s">
        <v>521</v>
      </c>
      <c r="P62" s="18" t="s">
        <v>89</v>
      </c>
    </row>
    <row r="63" spans="3:16" x14ac:dyDescent="0.25">
      <c r="C63" s="1073"/>
      <c r="D63" s="839" t="s">
        <v>357</v>
      </c>
      <c r="E63" s="838" t="s">
        <v>38</v>
      </c>
      <c r="F63" s="838" t="s">
        <v>38</v>
      </c>
      <c r="G63" s="319" t="s">
        <v>521</v>
      </c>
      <c r="H63" s="319" t="s">
        <v>521</v>
      </c>
      <c r="I63" s="319" t="s">
        <v>521</v>
      </c>
      <c r="J63" s="319" t="s">
        <v>521</v>
      </c>
      <c r="K63" s="319" t="s">
        <v>521</v>
      </c>
      <c r="L63" s="319" t="s">
        <v>521</v>
      </c>
      <c r="M63" s="319" t="s">
        <v>521</v>
      </c>
      <c r="P63" s="18" t="s">
        <v>89</v>
      </c>
    </row>
    <row r="64" spans="3:16" x14ac:dyDescent="0.25">
      <c r="C64" s="1073"/>
      <c r="D64" s="839" t="s">
        <v>358</v>
      </c>
      <c r="E64" s="838" t="s">
        <v>38</v>
      </c>
      <c r="F64" s="838" t="s">
        <v>38</v>
      </c>
      <c r="G64" s="319" t="s">
        <v>521</v>
      </c>
      <c r="H64" s="319" t="s">
        <v>521</v>
      </c>
      <c r="I64" s="319" t="s">
        <v>521</v>
      </c>
      <c r="J64" s="319" t="s">
        <v>521</v>
      </c>
      <c r="K64" s="319" t="s">
        <v>521</v>
      </c>
      <c r="L64" s="319" t="s">
        <v>521</v>
      </c>
      <c r="M64" s="319" t="s">
        <v>521</v>
      </c>
      <c r="P64" s="18" t="s">
        <v>89</v>
      </c>
    </row>
    <row r="65" spans="3:16" x14ac:dyDescent="0.25">
      <c r="C65" s="1073"/>
      <c r="D65" s="839" t="s">
        <v>451</v>
      </c>
      <c r="E65" s="838" t="s">
        <v>38</v>
      </c>
      <c r="F65" s="838" t="s">
        <v>38</v>
      </c>
      <c r="G65" s="319" t="s">
        <v>521</v>
      </c>
      <c r="H65" s="319" t="s">
        <v>521</v>
      </c>
      <c r="I65" s="319" t="s">
        <v>521</v>
      </c>
      <c r="J65" s="319" t="s">
        <v>521</v>
      </c>
      <c r="K65" s="319" t="s">
        <v>521</v>
      </c>
      <c r="L65" s="319" t="s">
        <v>521</v>
      </c>
      <c r="M65" s="319" t="s">
        <v>521</v>
      </c>
      <c r="P65" s="18" t="s">
        <v>89</v>
      </c>
    </row>
    <row r="66" spans="3:16" x14ac:dyDescent="0.25">
      <c r="C66" s="1073"/>
      <c r="D66" s="839" t="s">
        <v>423</v>
      </c>
      <c r="E66" s="838" t="s">
        <v>45</v>
      </c>
      <c r="F66" s="838" t="s">
        <v>45</v>
      </c>
      <c r="G66" s="319" t="s">
        <v>521</v>
      </c>
      <c r="H66" s="319" t="s">
        <v>521</v>
      </c>
      <c r="I66" s="319" t="s">
        <v>521</v>
      </c>
      <c r="J66" s="319" t="s">
        <v>521</v>
      </c>
      <c r="K66" s="319" t="s">
        <v>521</v>
      </c>
      <c r="L66" s="319" t="s">
        <v>521</v>
      </c>
      <c r="M66" s="319" t="s">
        <v>521</v>
      </c>
      <c r="P66" s="18" t="s">
        <v>89</v>
      </c>
    </row>
    <row r="67" spans="3:16" x14ac:dyDescent="0.25">
      <c r="C67" s="1074"/>
      <c r="D67" s="839" t="s">
        <v>359</v>
      </c>
      <c r="E67" s="838" t="s">
        <v>39</v>
      </c>
      <c r="F67" s="838" t="s">
        <v>39</v>
      </c>
      <c r="G67" s="319" t="s">
        <v>521</v>
      </c>
      <c r="H67" s="319" t="s">
        <v>521</v>
      </c>
      <c r="I67" s="319" t="s">
        <v>521</v>
      </c>
      <c r="J67" s="319" t="s">
        <v>521</v>
      </c>
      <c r="K67" s="319" t="s">
        <v>521</v>
      </c>
      <c r="L67" s="319" t="s">
        <v>521</v>
      </c>
      <c r="M67" s="319" t="s">
        <v>521</v>
      </c>
      <c r="P67" s="18" t="s">
        <v>89</v>
      </c>
    </row>
    <row r="68" spans="3:16" x14ac:dyDescent="0.25">
      <c r="C68" s="1075" t="s">
        <v>495</v>
      </c>
      <c r="D68" s="528" t="s">
        <v>521</v>
      </c>
      <c r="E68" s="87" t="str">
        <f t="shared" ref="E68:E80" si="1">INDEX(_ISO4217_EEA,MATCH(D68,_EEACountries,0))</f>
        <v>-</v>
      </c>
      <c r="F68" s="111" t="s">
        <v>521</v>
      </c>
      <c r="G68" s="320" t="s">
        <v>521</v>
      </c>
      <c r="H68" s="320" t="s">
        <v>521</v>
      </c>
      <c r="I68" s="320" t="s">
        <v>521</v>
      </c>
      <c r="J68" s="320" t="s">
        <v>521</v>
      </c>
      <c r="K68" s="321" t="s">
        <v>521</v>
      </c>
      <c r="L68" s="321" t="s">
        <v>521</v>
      </c>
      <c r="M68" s="320" t="s">
        <v>521</v>
      </c>
      <c r="P68" s="18" t="s">
        <v>89</v>
      </c>
    </row>
    <row r="69" spans="3:16" x14ac:dyDescent="0.25">
      <c r="C69" s="1076"/>
      <c r="D69" s="514" t="s">
        <v>521</v>
      </c>
      <c r="E69" s="77" t="str">
        <f t="shared" si="1"/>
        <v>-</v>
      </c>
      <c r="F69" s="76" t="s">
        <v>521</v>
      </c>
      <c r="G69" s="319" t="s">
        <v>521</v>
      </c>
      <c r="H69" s="319" t="s">
        <v>521</v>
      </c>
      <c r="I69" s="319" t="s">
        <v>521</v>
      </c>
      <c r="J69" s="319" t="s">
        <v>521</v>
      </c>
      <c r="K69" s="319" t="s">
        <v>521</v>
      </c>
      <c r="L69" s="319" t="s">
        <v>521</v>
      </c>
      <c r="M69" s="319" t="s">
        <v>521</v>
      </c>
      <c r="P69" s="18" t="s">
        <v>89</v>
      </c>
    </row>
    <row r="70" spans="3:16" x14ac:dyDescent="0.25">
      <c r="C70" s="1076"/>
      <c r="D70" s="514" t="s">
        <v>521</v>
      </c>
      <c r="E70" s="77" t="str">
        <f t="shared" si="1"/>
        <v>-</v>
      </c>
      <c r="F70" s="76" t="s">
        <v>521</v>
      </c>
      <c r="G70" s="319" t="s">
        <v>521</v>
      </c>
      <c r="H70" s="319" t="s">
        <v>521</v>
      </c>
      <c r="I70" s="319" t="s">
        <v>521</v>
      </c>
      <c r="J70" s="319" t="s">
        <v>521</v>
      </c>
      <c r="K70" s="319" t="s">
        <v>521</v>
      </c>
      <c r="L70" s="319" t="s">
        <v>521</v>
      </c>
      <c r="M70" s="319" t="s">
        <v>521</v>
      </c>
      <c r="P70" s="18" t="s">
        <v>89</v>
      </c>
    </row>
    <row r="71" spans="3:16" x14ac:dyDescent="0.25">
      <c r="C71" s="1076"/>
      <c r="D71" s="514" t="s">
        <v>521</v>
      </c>
      <c r="E71" s="77" t="str">
        <f t="shared" si="1"/>
        <v>-</v>
      </c>
      <c r="F71" s="76" t="s">
        <v>521</v>
      </c>
      <c r="G71" s="319" t="s">
        <v>521</v>
      </c>
      <c r="H71" s="319" t="s">
        <v>521</v>
      </c>
      <c r="I71" s="319" t="s">
        <v>521</v>
      </c>
      <c r="J71" s="319" t="s">
        <v>521</v>
      </c>
      <c r="K71" s="319" t="s">
        <v>521</v>
      </c>
      <c r="L71" s="319" t="s">
        <v>521</v>
      </c>
      <c r="M71" s="319" t="s">
        <v>521</v>
      </c>
      <c r="P71" s="18" t="s">
        <v>89</v>
      </c>
    </row>
    <row r="72" spans="3:16" x14ac:dyDescent="0.25">
      <c r="C72" s="1076"/>
      <c r="D72" s="514" t="s">
        <v>521</v>
      </c>
      <c r="E72" s="77" t="str">
        <f t="shared" si="1"/>
        <v>-</v>
      </c>
      <c r="F72" s="76" t="s">
        <v>521</v>
      </c>
      <c r="G72" s="319" t="s">
        <v>521</v>
      </c>
      <c r="H72" s="319" t="s">
        <v>521</v>
      </c>
      <c r="I72" s="319" t="s">
        <v>521</v>
      </c>
      <c r="J72" s="319" t="s">
        <v>521</v>
      </c>
      <c r="K72" s="319" t="s">
        <v>521</v>
      </c>
      <c r="L72" s="319" t="s">
        <v>521</v>
      </c>
      <c r="M72" s="319" t="s">
        <v>521</v>
      </c>
      <c r="P72" s="18" t="s">
        <v>89</v>
      </c>
    </row>
    <row r="73" spans="3:16" x14ac:dyDescent="0.25">
      <c r="C73" s="1076"/>
      <c r="D73" s="514" t="s">
        <v>521</v>
      </c>
      <c r="E73" s="77" t="str">
        <f t="shared" si="1"/>
        <v>-</v>
      </c>
      <c r="F73" s="76" t="s">
        <v>521</v>
      </c>
      <c r="G73" s="319" t="s">
        <v>521</v>
      </c>
      <c r="H73" s="319" t="s">
        <v>521</v>
      </c>
      <c r="I73" s="319" t="s">
        <v>521</v>
      </c>
      <c r="J73" s="319" t="s">
        <v>521</v>
      </c>
      <c r="K73" s="319" t="s">
        <v>521</v>
      </c>
      <c r="L73" s="319" t="s">
        <v>521</v>
      </c>
      <c r="M73" s="319" t="s">
        <v>521</v>
      </c>
      <c r="P73" s="18" t="s">
        <v>89</v>
      </c>
    </row>
    <row r="74" spans="3:16" x14ac:dyDescent="0.25">
      <c r="C74" s="1076"/>
      <c r="D74" s="514" t="s">
        <v>521</v>
      </c>
      <c r="E74" s="77" t="str">
        <f t="shared" si="1"/>
        <v>-</v>
      </c>
      <c r="F74" s="76" t="s">
        <v>521</v>
      </c>
      <c r="G74" s="319" t="s">
        <v>521</v>
      </c>
      <c r="H74" s="319" t="s">
        <v>521</v>
      </c>
      <c r="I74" s="319" t="s">
        <v>521</v>
      </c>
      <c r="J74" s="319" t="s">
        <v>521</v>
      </c>
      <c r="K74" s="319" t="s">
        <v>521</v>
      </c>
      <c r="L74" s="319" t="s">
        <v>521</v>
      </c>
      <c r="M74" s="319" t="s">
        <v>521</v>
      </c>
      <c r="P74" s="18" t="s">
        <v>89</v>
      </c>
    </row>
    <row r="75" spans="3:16" x14ac:dyDescent="0.25">
      <c r="C75" s="1076"/>
      <c r="D75" s="514" t="s">
        <v>521</v>
      </c>
      <c r="E75" s="77" t="str">
        <f t="shared" si="1"/>
        <v>-</v>
      </c>
      <c r="F75" s="76" t="s">
        <v>521</v>
      </c>
      <c r="G75" s="319" t="s">
        <v>521</v>
      </c>
      <c r="H75" s="319" t="s">
        <v>521</v>
      </c>
      <c r="I75" s="319" t="s">
        <v>521</v>
      </c>
      <c r="J75" s="319" t="s">
        <v>521</v>
      </c>
      <c r="K75" s="319" t="s">
        <v>521</v>
      </c>
      <c r="L75" s="319" t="s">
        <v>521</v>
      </c>
      <c r="M75" s="319" t="s">
        <v>521</v>
      </c>
      <c r="P75" s="18" t="s">
        <v>89</v>
      </c>
    </row>
    <row r="76" spans="3:16" x14ac:dyDescent="0.25">
      <c r="C76" s="1076"/>
      <c r="D76" s="514" t="s">
        <v>521</v>
      </c>
      <c r="E76" s="77" t="str">
        <f t="shared" si="1"/>
        <v>-</v>
      </c>
      <c r="F76" s="76" t="s">
        <v>521</v>
      </c>
      <c r="G76" s="319" t="s">
        <v>521</v>
      </c>
      <c r="H76" s="319" t="s">
        <v>521</v>
      </c>
      <c r="I76" s="319" t="s">
        <v>521</v>
      </c>
      <c r="J76" s="319" t="s">
        <v>521</v>
      </c>
      <c r="K76" s="319" t="s">
        <v>521</v>
      </c>
      <c r="L76" s="319" t="s">
        <v>521</v>
      </c>
      <c r="M76" s="319" t="s">
        <v>521</v>
      </c>
      <c r="P76" s="18" t="s">
        <v>89</v>
      </c>
    </row>
    <row r="77" spans="3:16" x14ac:dyDescent="0.25">
      <c r="C77" s="1076"/>
      <c r="D77" s="514" t="s">
        <v>521</v>
      </c>
      <c r="E77" s="77" t="str">
        <f t="shared" si="1"/>
        <v>-</v>
      </c>
      <c r="F77" s="76" t="s">
        <v>521</v>
      </c>
      <c r="G77" s="319" t="s">
        <v>521</v>
      </c>
      <c r="H77" s="319" t="s">
        <v>521</v>
      </c>
      <c r="I77" s="319" t="s">
        <v>521</v>
      </c>
      <c r="J77" s="319" t="s">
        <v>521</v>
      </c>
      <c r="K77" s="319" t="s">
        <v>521</v>
      </c>
      <c r="L77" s="319" t="s">
        <v>521</v>
      </c>
      <c r="M77" s="319" t="s">
        <v>521</v>
      </c>
      <c r="P77" s="18" t="s">
        <v>89</v>
      </c>
    </row>
    <row r="78" spans="3:16" x14ac:dyDescent="0.25">
      <c r="C78" s="1076"/>
      <c r="D78" s="514" t="s">
        <v>521</v>
      </c>
      <c r="E78" s="77" t="str">
        <f t="shared" si="1"/>
        <v>-</v>
      </c>
      <c r="F78" s="76" t="s">
        <v>521</v>
      </c>
      <c r="G78" s="319" t="s">
        <v>521</v>
      </c>
      <c r="H78" s="319" t="s">
        <v>521</v>
      </c>
      <c r="I78" s="319" t="s">
        <v>521</v>
      </c>
      <c r="J78" s="319" t="s">
        <v>521</v>
      </c>
      <c r="K78" s="319" t="s">
        <v>521</v>
      </c>
      <c r="L78" s="319" t="s">
        <v>521</v>
      </c>
      <c r="M78" s="319" t="s">
        <v>521</v>
      </c>
      <c r="P78" s="18" t="s">
        <v>89</v>
      </c>
    </row>
    <row r="79" spans="3:16" x14ac:dyDescent="0.25">
      <c r="C79" s="1076"/>
      <c r="D79" s="514" t="s">
        <v>521</v>
      </c>
      <c r="E79" s="77" t="str">
        <f t="shared" si="1"/>
        <v>-</v>
      </c>
      <c r="F79" s="76" t="s">
        <v>521</v>
      </c>
      <c r="G79" s="319" t="s">
        <v>521</v>
      </c>
      <c r="H79" s="319" t="s">
        <v>521</v>
      </c>
      <c r="I79" s="319" t="s">
        <v>521</v>
      </c>
      <c r="J79" s="319" t="s">
        <v>521</v>
      </c>
      <c r="K79" s="319" t="s">
        <v>521</v>
      </c>
      <c r="L79" s="319" t="s">
        <v>521</v>
      </c>
      <c r="M79" s="319" t="s">
        <v>521</v>
      </c>
      <c r="P79" s="18" t="s">
        <v>89</v>
      </c>
    </row>
    <row r="80" spans="3:16" x14ac:dyDescent="0.25">
      <c r="C80" s="1077"/>
      <c r="D80" s="519" t="s">
        <v>521</v>
      </c>
      <c r="E80" s="78" t="str">
        <f t="shared" si="1"/>
        <v>-</v>
      </c>
      <c r="F80" s="88" t="s">
        <v>521</v>
      </c>
      <c r="G80" s="322" t="s">
        <v>521</v>
      </c>
      <c r="H80" s="322" t="s">
        <v>521</v>
      </c>
      <c r="I80" s="322" t="s">
        <v>521</v>
      </c>
      <c r="J80" s="322" t="s">
        <v>521</v>
      </c>
      <c r="K80" s="322" t="s">
        <v>521</v>
      </c>
      <c r="L80" s="322" t="s">
        <v>521</v>
      </c>
      <c r="M80" s="322" t="s">
        <v>521</v>
      </c>
      <c r="P80" s="18" t="s">
        <v>89</v>
      </c>
    </row>
    <row r="81" spans="3:16" x14ac:dyDescent="0.25">
      <c r="C81" s="1072" t="s">
        <v>455</v>
      </c>
      <c r="D81" s="840" t="s">
        <v>454</v>
      </c>
      <c r="E81" s="838" t="s">
        <v>236</v>
      </c>
      <c r="F81" s="841" t="s">
        <v>236</v>
      </c>
      <c r="G81" s="319" t="s">
        <v>521</v>
      </c>
      <c r="H81" s="319" t="s">
        <v>521</v>
      </c>
      <c r="I81" s="319" t="s">
        <v>521</v>
      </c>
      <c r="J81" s="319" t="s">
        <v>521</v>
      </c>
      <c r="K81" s="319" t="s">
        <v>521</v>
      </c>
      <c r="L81" s="319" t="s">
        <v>521</v>
      </c>
      <c r="M81" s="319" t="s">
        <v>521</v>
      </c>
      <c r="P81" s="18" t="s">
        <v>89</v>
      </c>
    </row>
    <row r="82" spans="3:16" x14ac:dyDescent="0.25">
      <c r="C82" s="1073"/>
      <c r="D82" s="840" t="s">
        <v>364</v>
      </c>
      <c r="E82" s="838" t="s">
        <v>52</v>
      </c>
      <c r="F82" s="841" t="s">
        <v>52</v>
      </c>
      <c r="G82" s="319" t="s">
        <v>521</v>
      </c>
      <c r="H82" s="319" t="s">
        <v>521</v>
      </c>
      <c r="I82" s="319" t="s">
        <v>521</v>
      </c>
      <c r="J82" s="319" t="s">
        <v>521</v>
      </c>
      <c r="K82" s="319" t="s">
        <v>521</v>
      </c>
      <c r="L82" s="319" t="s">
        <v>521</v>
      </c>
      <c r="M82" s="319" t="s">
        <v>521</v>
      </c>
      <c r="P82" s="18" t="s">
        <v>89</v>
      </c>
    </row>
    <row r="83" spans="3:16" x14ac:dyDescent="0.25">
      <c r="C83" s="1073"/>
      <c r="D83" s="840" t="s">
        <v>401</v>
      </c>
      <c r="E83" s="838" t="s">
        <v>278</v>
      </c>
      <c r="F83" s="841" t="s">
        <v>278</v>
      </c>
      <c r="G83" s="319" t="s">
        <v>521</v>
      </c>
      <c r="H83" s="319" t="s">
        <v>521</v>
      </c>
      <c r="I83" s="319" t="s">
        <v>521</v>
      </c>
      <c r="J83" s="319" t="s">
        <v>521</v>
      </c>
      <c r="K83" s="319" t="s">
        <v>521</v>
      </c>
      <c r="L83" s="319" t="s">
        <v>521</v>
      </c>
      <c r="M83" s="319" t="s">
        <v>521</v>
      </c>
      <c r="P83" s="18" t="s">
        <v>89</v>
      </c>
    </row>
    <row r="84" spans="3:16" x14ac:dyDescent="0.25">
      <c r="C84" s="1073"/>
      <c r="D84" s="514" t="s">
        <v>521</v>
      </c>
      <c r="E84" s="77" t="str">
        <f t="shared" ref="E84:E93" si="2">INDEX(_ISO4217_All,MATCH(D84,_AllCountries,0))</f>
        <v>-</v>
      </c>
      <c r="F84" s="76" t="s">
        <v>521</v>
      </c>
      <c r="G84" s="319" t="s">
        <v>521</v>
      </c>
      <c r="H84" s="319" t="s">
        <v>521</v>
      </c>
      <c r="I84" s="319" t="s">
        <v>521</v>
      </c>
      <c r="J84" s="319" t="s">
        <v>521</v>
      </c>
      <c r="K84" s="319" t="s">
        <v>521</v>
      </c>
      <c r="L84" s="319" t="s">
        <v>521</v>
      </c>
      <c r="M84" s="319" t="s">
        <v>521</v>
      </c>
      <c r="P84" s="18" t="s">
        <v>89</v>
      </c>
    </row>
    <row r="85" spans="3:16" x14ac:dyDescent="0.25">
      <c r="C85" s="1073"/>
      <c r="D85" s="514" t="s">
        <v>521</v>
      </c>
      <c r="E85" s="77" t="str">
        <f t="shared" si="2"/>
        <v>-</v>
      </c>
      <c r="F85" s="76" t="s">
        <v>521</v>
      </c>
      <c r="G85" s="319" t="s">
        <v>521</v>
      </c>
      <c r="H85" s="319" t="s">
        <v>521</v>
      </c>
      <c r="I85" s="319" t="s">
        <v>521</v>
      </c>
      <c r="J85" s="319" t="s">
        <v>521</v>
      </c>
      <c r="K85" s="319" t="s">
        <v>521</v>
      </c>
      <c r="L85" s="319" t="s">
        <v>521</v>
      </c>
      <c r="M85" s="319" t="s">
        <v>521</v>
      </c>
      <c r="P85" s="18" t="s">
        <v>89</v>
      </c>
    </row>
    <row r="86" spans="3:16" x14ac:dyDescent="0.25">
      <c r="C86" s="1073"/>
      <c r="D86" s="514" t="s">
        <v>521</v>
      </c>
      <c r="E86" s="77" t="str">
        <f t="shared" si="2"/>
        <v>-</v>
      </c>
      <c r="F86" s="76" t="s">
        <v>521</v>
      </c>
      <c r="G86" s="319" t="s">
        <v>521</v>
      </c>
      <c r="H86" s="319" t="s">
        <v>521</v>
      </c>
      <c r="I86" s="319" t="s">
        <v>521</v>
      </c>
      <c r="J86" s="319" t="s">
        <v>521</v>
      </c>
      <c r="K86" s="319" t="s">
        <v>521</v>
      </c>
      <c r="L86" s="319" t="s">
        <v>521</v>
      </c>
      <c r="M86" s="319" t="s">
        <v>521</v>
      </c>
      <c r="P86" s="18" t="s">
        <v>89</v>
      </c>
    </row>
    <row r="87" spans="3:16" x14ac:dyDescent="0.25">
      <c r="C87" s="1073"/>
      <c r="D87" s="514" t="s">
        <v>521</v>
      </c>
      <c r="E87" s="77" t="str">
        <f t="shared" si="2"/>
        <v>-</v>
      </c>
      <c r="F87" s="76" t="s">
        <v>521</v>
      </c>
      <c r="G87" s="319" t="s">
        <v>521</v>
      </c>
      <c r="H87" s="319" t="s">
        <v>521</v>
      </c>
      <c r="I87" s="319" t="s">
        <v>521</v>
      </c>
      <c r="J87" s="319" t="s">
        <v>521</v>
      </c>
      <c r="K87" s="319" t="s">
        <v>521</v>
      </c>
      <c r="L87" s="319" t="s">
        <v>521</v>
      </c>
      <c r="M87" s="319" t="s">
        <v>521</v>
      </c>
      <c r="P87" s="18" t="s">
        <v>89</v>
      </c>
    </row>
    <row r="88" spans="3:16" x14ac:dyDescent="0.25">
      <c r="C88" s="1073"/>
      <c r="D88" s="514" t="s">
        <v>521</v>
      </c>
      <c r="E88" s="77" t="str">
        <f t="shared" si="2"/>
        <v>-</v>
      </c>
      <c r="F88" s="76" t="s">
        <v>521</v>
      </c>
      <c r="G88" s="319" t="s">
        <v>521</v>
      </c>
      <c r="H88" s="319" t="s">
        <v>521</v>
      </c>
      <c r="I88" s="319" t="s">
        <v>521</v>
      </c>
      <c r="J88" s="319" t="s">
        <v>521</v>
      </c>
      <c r="K88" s="319" t="s">
        <v>521</v>
      </c>
      <c r="L88" s="319" t="s">
        <v>521</v>
      </c>
      <c r="M88" s="319" t="s">
        <v>521</v>
      </c>
      <c r="P88" s="18" t="s">
        <v>89</v>
      </c>
    </row>
    <row r="89" spans="3:16" x14ac:dyDescent="0.25">
      <c r="C89" s="1073"/>
      <c r="D89" s="514" t="s">
        <v>521</v>
      </c>
      <c r="E89" s="77" t="str">
        <f t="shared" si="2"/>
        <v>-</v>
      </c>
      <c r="F89" s="76" t="s">
        <v>521</v>
      </c>
      <c r="G89" s="319" t="s">
        <v>521</v>
      </c>
      <c r="H89" s="319" t="s">
        <v>521</v>
      </c>
      <c r="I89" s="319" t="s">
        <v>521</v>
      </c>
      <c r="J89" s="319" t="s">
        <v>521</v>
      </c>
      <c r="K89" s="319" t="s">
        <v>521</v>
      </c>
      <c r="L89" s="319" t="s">
        <v>521</v>
      </c>
      <c r="M89" s="319" t="s">
        <v>521</v>
      </c>
      <c r="P89" s="18" t="s">
        <v>89</v>
      </c>
    </row>
    <row r="90" spans="3:16" x14ac:dyDescent="0.25">
      <c r="C90" s="1073"/>
      <c r="D90" s="514" t="s">
        <v>521</v>
      </c>
      <c r="E90" s="77" t="str">
        <f t="shared" si="2"/>
        <v>-</v>
      </c>
      <c r="F90" s="76" t="s">
        <v>521</v>
      </c>
      <c r="G90" s="319" t="s">
        <v>521</v>
      </c>
      <c r="H90" s="319" t="s">
        <v>521</v>
      </c>
      <c r="I90" s="319" t="s">
        <v>521</v>
      </c>
      <c r="J90" s="319" t="s">
        <v>521</v>
      </c>
      <c r="K90" s="319" t="s">
        <v>521</v>
      </c>
      <c r="L90" s="319" t="s">
        <v>521</v>
      </c>
      <c r="M90" s="319" t="s">
        <v>521</v>
      </c>
      <c r="P90" s="18" t="s">
        <v>89</v>
      </c>
    </row>
    <row r="91" spans="3:16" x14ac:dyDescent="0.25">
      <c r="C91" s="1073"/>
      <c r="D91" s="514" t="s">
        <v>521</v>
      </c>
      <c r="E91" s="77" t="str">
        <f t="shared" si="2"/>
        <v>-</v>
      </c>
      <c r="F91" s="76" t="s">
        <v>521</v>
      </c>
      <c r="G91" s="319" t="s">
        <v>521</v>
      </c>
      <c r="H91" s="319" t="s">
        <v>521</v>
      </c>
      <c r="I91" s="319" t="s">
        <v>521</v>
      </c>
      <c r="J91" s="319" t="s">
        <v>521</v>
      </c>
      <c r="K91" s="319" t="s">
        <v>521</v>
      </c>
      <c r="L91" s="319" t="s">
        <v>521</v>
      </c>
      <c r="M91" s="319" t="s">
        <v>521</v>
      </c>
      <c r="P91" s="18" t="s">
        <v>89</v>
      </c>
    </row>
    <row r="92" spans="3:16" x14ac:dyDescent="0.25">
      <c r="C92" s="1073"/>
      <c r="D92" s="514" t="s">
        <v>521</v>
      </c>
      <c r="E92" s="77" t="str">
        <f t="shared" si="2"/>
        <v>-</v>
      </c>
      <c r="F92" s="76" t="s">
        <v>521</v>
      </c>
      <c r="G92" s="319" t="s">
        <v>521</v>
      </c>
      <c r="H92" s="319" t="s">
        <v>521</v>
      </c>
      <c r="I92" s="319" t="s">
        <v>521</v>
      </c>
      <c r="J92" s="319" t="s">
        <v>521</v>
      </c>
      <c r="K92" s="319" t="s">
        <v>521</v>
      </c>
      <c r="L92" s="319" t="s">
        <v>521</v>
      </c>
      <c r="M92" s="319" t="s">
        <v>521</v>
      </c>
      <c r="P92" s="18" t="s">
        <v>89</v>
      </c>
    </row>
    <row r="93" spans="3:16" x14ac:dyDescent="0.25">
      <c r="C93" s="1073"/>
      <c r="D93" s="514" t="s">
        <v>521</v>
      </c>
      <c r="E93" s="77" t="str">
        <f t="shared" si="2"/>
        <v>-</v>
      </c>
      <c r="F93" s="76" t="s">
        <v>521</v>
      </c>
      <c r="G93" s="319" t="s">
        <v>521</v>
      </c>
      <c r="H93" s="319" t="s">
        <v>521</v>
      </c>
      <c r="I93" s="319" t="s">
        <v>521</v>
      </c>
      <c r="J93" s="319" t="s">
        <v>521</v>
      </c>
      <c r="K93" s="319" t="s">
        <v>521</v>
      </c>
      <c r="L93" s="319" t="s">
        <v>521</v>
      </c>
      <c r="M93" s="319" t="s">
        <v>521</v>
      </c>
      <c r="P93" s="18" t="s">
        <v>89</v>
      </c>
    </row>
    <row r="94" spans="3:16" x14ac:dyDescent="0.25">
      <c r="C94" s="1074"/>
      <c r="D94" s="842" t="s">
        <v>437</v>
      </c>
      <c r="E94" s="426"/>
      <c r="F94" s="426"/>
      <c r="G94" s="323" t="s">
        <v>521</v>
      </c>
      <c r="H94" s="323" t="s">
        <v>521</v>
      </c>
      <c r="I94" s="323" t="s">
        <v>521</v>
      </c>
      <c r="J94" s="323" t="s">
        <v>521</v>
      </c>
      <c r="K94" s="324" t="s">
        <v>521</v>
      </c>
      <c r="L94" s="324" t="s">
        <v>521</v>
      </c>
      <c r="M94" s="323" t="s">
        <v>521</v>
      </c>
      <c r="P94" s="18" t="s">
        <v>89</v>
      </c>
    </row>
    <row r="95" spans="3:16" x14ac:dyDescent="0.25">
      <c r="C95" s="843" t="s">
        <v>195</v>
      </c>
      <c r="D95" s="844"/>
      <c r="E95" s="845"/>
      <c r="F95" s="846"/>
      <c r="G95" s="451">
        <f t="shared" ref="G95:M95" si="3">SUM(G38:G94)</f>
        <v>0</v>
      </c>
      <c r="H95" s="451">
        <f t="shared" si="3"/>
        <v>0</v>
      </c>
      <c r="I95" s="451">
        <f t="shared" si="3"/>
        <v>0</v>
      </c>
      <c r="J95" s="451">
        <f t="shared" si="3"/>
        <v>0</v>
      </c>
      <c r="K95" s="451">
        <f t="shared" si="3"/>
        <v>0</v>
      </c>
      <c r="L95" s="451">
        <f t="shared" si="3"/>
        <v>0</v>
      </c>
      <c r="M95" s="451">
        <f t="shared" si="3"/>
        <v>0</v>
      </c>
      <c r="P95" s="18" t="s">
        <v>89</v>
      </c>
    </row>
    <row r="96" spans="3:16" s="300" customFormat="1" x14ac:dyDescent="0.25">
      <c r="C96" s="402"/>
      <c r="D96" s="402"/>
      <c r="E96" s="402"/>
      <c r="F96" s="402"/>
      <c r="G96" s="402"/>
      <c r="H96" s="402"/>
      <c r="I96" s="402"/>
      <c r="J96" s="402"/>
      <c r="K96" s="402"/>
      <c r="L96" s="402"/>
      <c r="M96" s="402"/>
      <c r="P96" s="18" t="s">
        <v>89</v>
      </c>
    </row>
    <row r="97" spans="3:17" x14ac:dyDescent="0.25">
      <c r="P97" s="18" t="s">
        <v>89</v>
      </c>
    </row>
    <row r="98" spans="3:17" x14ac:dyDescent="0.25">
      <c r="C98" s="1043" t="s">
        <v>907</v>
      </c>
      <c r="D98" s="1044"/>
      <c r="P98" s="18" t="s">
        <v>89</v>
      </c>
    </row>
    <row r="99" spans="3:17" x14ac:dyDescent="0.25">
      <c r="C99" s="1045"/>
      <c r="D99" s="1046"/>
      <c r="P99" s="18" t="s">
        <v>89</v>
      </c>
    </row>
    <row r="100" spans="3:17" x14ac:dyDescent="0.25">
      <c r="C100" s="300"/>
      <c r="E100" s="300"/>
      <c r="P100" s="18" t="s">
        <v>89</v>
      </c>
      <c r="Q100" s="300"/>
    </row>
    <row r="101" spans="3:17" x14ac:dyDescent="0.25">
      <c r="C101" s="1058" t="s">
        <v>1116</v>
      </c>
      <c r="D101" s="1055"/>
      <c r="E101" s="1050" t="s">
        <v>195</v>
      </c>
      <c r="F101" s="1047" t="s">
        <v>941</v>
      </c>
      <c r="G101" s="1048"/>
      <c r="H101" s="1048"/>
      <c r="I101" s="1048"/>
      <c r="J101" s="1048"/>
      <c r="K101" s="1048"/>
      <c r="L101" s="1049"/>
      <c r="M101" s="1052" t="s">
        <v>940</v>
      </c>
      <c r="N101" s="1054" t="s">
        <v>939</v>
      </c>
      <c r="O101" s="1055"/>
      <c r="P101" s="18" t="s">
        <v>89</v>
      </c>
    </row>
    <row r="102" spans="3:17" ht="22.5" x14ac:dyDescent="0.25">
      <c r="C102" s="1059"/>
      <c r="D102" s="1057"/>
      <c r="E102" s="1051"/>
      <c r="F102" s="847" t="s">
        <v>929</v>
      </c>
      <c r="G102" s="847" t="s">
        <v>930</v>
      </c>
      <c r="H102" s="848" t="s">
        <v>931</v>
      </c>
      <c r="I102" s="848" t="s">
        <v>932</v>
      </c>
      <c r="J102" s="848" t="s">
        <v>933</v>
      </c>
      <c r="K102" s="848" t="s">
        <v>934</v>
      </c>
      <c r="L102" s="848" t="s">
        <v>86</v>
      </c>
      <c r="M102" s="1053"/>
      <c r="N102" s="1056"/>
      <c r="O102" s="1057"/>
      <c r="P102" s="18" t="s">
        <v>89</v>
      </c>
    </row>
    <row r="103" spans="3:17" x14ac:dyDescent="0.25">
      <c r="C103" s="849" t="s">
        <v>953</v>
      </c>
      <c r="D103" s="850"/>
      <c r="E103" s="450">
        <f t="shared" ref="E103:E134" si="4">SUM(F103:L103)</f>
        <v>0</v>
      </c>
      <c r="F103" s="444">
        <f>SUM(F104:F113)</f>
        <v>0</v>
      </c>
      <c r="G103" s="444">
        <f t="shared" ref="G103:L103" si="5">SUM(G104:G113)</f>
        <v>0</v>
      </c>
      <c r="H103" s="444">
        <f t="shared" si="5"/>
        <v>0</v>
      </c>
      <c r="I103" s="444">
        <f t="shared" si="5"/>
        <v>0</v>
      </c>
      <c r="J103" s="444">
        <f t="shared" si="5"/>
        <v>0</v>
      </c>
      <c r="K103" s="444">
        <f t="shared" si="5"/>
        <v>0</v>
      </c>
      <c r="L103" s="444">
        <f t="shared" si="5"/>
        <v>0</v>
      </c>
      <c r="M103" s="528" t="s">
        <v>521</v>
      </c>
      <c r="N103" s="1060"/>
      <c r="O103" s="1061"/>
      <c r="P103" s="18" t="s">
        <v>89</v>
      </c>
    </row>
    <row r="104" spans="3:17" x14ac:dyDescent="0.25">
      <c r="C104" s="851" t="s">
        <v>944</v>
      </c>
      <c r="D104" s="852"/>
      <c r="E104" s="449">
        <f t="shared" si="4"/>
        <v>0</v>
      </c>
      <c r="F104" s="514" t="s">
        <v>521</v>
      </c>
      <c r="G104" s="514" t="s">
        <v>521</v>
      </c>
      <c r="H104" s="514" t="s">
        <v>521</v>
      </c>
      <c r="I104" s="514" t="s">
        <v>521</v>
      </c>
      <c r="J104" s="514" t="s">
        <v>521</v>
      </c>
      <c r="K104" s="514" t="s">
        <v>521</v>
      </c>
      <c r="L104" s="514" t="s">
        <v>521</v>
      </c>
      <c r="M104" s="514" t="s">
        <v>521</v>
      </c>
      <c r="N104" s="1041" t="s">
        <v>521</v>
      </c>
      <c r="O104" s="1042"/>
      <c r="P104" s="18" t="s">
        <v>89</v>
      </c>
    </row>
    <row r="105" spans="3:17" x14ac:dyDescent="0.25">
      <c r="C105" s="851" t="s">
        <v>945</v>
      </c>
      <c r="D105" s="852"/>
      <c r="E105" s="449">
        <f t="shared" si="4"/>
        <v>0</v>
      </c>
      <c r="F105" s="514" t="s">
        <v>521</v>
      </c>
      <c r="G105" s="514" t="s">
        <v>521</v>
      </c>
      <c r="H105" s="514" t="s">
        <v>521</v>
      </c>
      <c r="I105" s="514" t="s">
        <v>521</v>
      </c>
      <c r="J105" s="514" t="s">
        <v>521</v>
      </c>
      <c r="K105" s="514" t="s">
        <v>521</v>
      </c>
      <c r="L105" s="514" t="s">
        <v>521</v>
      </c>
      <c r="M105" s="514" t="s">
        <v>521</v>
      </c>
      <c r="N105" s="1041" t="s">
        <v>521</v>
      </c>
      <c r="O105" s="1042"/>
      <c r="P105" s="18" t="s">
        <v>89</v>
      </c>
    </row>
    <row r="106" spans="3:17" x14ac:dyDescent="0.25">
      <c r="C106" s="851" t="s">
        <v>946</v>
      </c>
      <c r="D106" s="852"/>
      <c r="E106" s="449">
        <f t="shared" si="4"/>
        <v>0</v>
      </c>
      <c r="F106" s="514" t="s">
        <v>521</v>
      </c>
      <c r="G106" s="514" t="s">
        <v>521</v>
      </c>
      <c r="H106" s="514" t="s">
        <v>521</v>
      </c>
      <c r="I106" s="514" t="s">
        <v>521</v>
      </c>
      <c r="J106" s="514" t="s">
        <v>521</v>
      </c>
      <c r="K106" s="514" t="s">
        <v>521</v>
      </c>
      <c r="L106" s="514" t="s">
        <v>521</v>
      </c>
      <c r="M106" s="514" t="s">
        <v>521</v>
      </c>
      <c r="N106" s="1041" t="s">
        <v>521</v>
      </c>
      <c r="O106" s="1042"/>
      <c r="P106" s="18" t="s">
        <v>89</v>
      </c>
    </row>
    <row r="107" spans="3:17" x14ac:dyDescent="0.25">
      <c r="C107" s="851" t="s">
        <v>947</v>
      </c>
      <c r="D107" s="852"/>
      <c r="E107" s="449">
        <f t="shared" si="4"/>
        <v>0</v>
      </c>
      <c r="F107" s="514" t="s">
        <v>521</v>
      </c>
      <c r="G107" s="514" t="s">
        <v>521</v>
      </c>
      <c r="H107" s="514" t="s">
        <v>521</v>
      </c>
      <c r="I107" s="514" t="s">
        <v>521</v>
      </c>
      <c r="J107" s="514" t="s">
        <v>521</v>
      </c>
      <c r="K107" s="514" t="s">
        <v>521</v>
      </c>
      <c r="L107" s="514" t="s">
        <v>521</v>
      </c>
      <c r="M107" s="514" t="s">
        <v>521</v>
      </c>
      <c r="N107" s="1041" t="s">
        <v>521</v>
      </c>
      <c r="O107" s="1042"/>
      <c r="P107" s="18" t="s">
        <v>89</v>
      </c>
    </row>
    <row r="108" spans="3:17" x14ac:dyDescent="0.25">
      <c r="C108" s="851" t="s">
        <v>948</v>
      </c>
      <c r="D108" s="852"/>
      <c r="E108" s="449">
        <f t="shared" si="4"/>
        <v>0</v>
      </c>
      <c r="F108" s="514" t="s">
        <v>521</v>
      </c>
      <c r="G108" s="514" t="s">
        <v>521</v>
      </c>
      <c r="H108" s="514" t="s">
        <v>521</v>
      </c>
      <c r="I108" s="514" t="s">
        <v>521</v>
      </c>
      <c r="J108" s="514" t="s">
        <v>521</v>
      </c>
      <c r="K108" s="514" t="s">
        <v>521</v>
      </c>
      <c r="L108" s="514" t="s">
        <v>521</v>
      </c>
      <c r="M108" s="514" t="s">
        <v>521</v>
      </c>
      <c r="N108" s="1041" t="s">
        <v>521</v>
      </c>
      <c r="O108" s="1042"/>
      <c r="P108" s="18" t="s">
        <v>89</v>
      </c>
    </row>
    <row r="109" spans="3:17" x14ac:dyDescent="0.25">
      <c r="C109" s="851" t="s">
        <v>949</v>
      </c>
      <c r="D109" s="852"/>
      <c r="E109" s="449">
        <f t="shared" si="4"/>
        <v>0</v>
      </c>
      <c r="F109" s="514" t="s">
        <v>521</v>
      </c>
      <c r="G109" s="514" t="s">
        <v>521</v>
      </c>
      <c r="H109" s="514" t="s">
        <v>521</v>
      </c>
      <c r="I109" s="514" t="s">
        <v>521</v>
      </c>
      <c r="J109" s="514" t="s">
        <v>521</v>
      </c>
      <c r="K109" s="514" t="s">
        <v>521</v>
      </c>
      <c r="L109" s="514" t="s">
        <v>521</v>
      </c>
      <c r="M109" s="514" t="s">
        <v>521</v>
      </c>
      <c r="N109" s="1041" t="s">
        <v>521</v>
      </c>
      <c r="O109" s="1042"/>
      <c r="P109" s="18" t="s">
        <v>89</v>
      </c>
    </row>
    <row r="110" spans="3:17" x14ac:dyDescent="0.25">
      <c r="C110" s="851" t="s">
        <v>950</v>
      </c>
      <c r="D110" s="852"/>
      <c r="E110" s="449">
        <f t="shared" si="4"/>
        <v>0</v>
      </c>
      <c r="F110" s="514" t="s">
        <v>521</v>
      </c>
      <c r="G110" s="514" t="s">
        <v>521</v>
      </c>
      <c r="H110" s="514" t="s">
        <v>521</v>
      </c>
      <c r="I110" s="514" t="s">
        <v>521</v>
      </c>
      <c r="J110" s="514" t="s">
        <v>521</v>
      </c>
      <c r="K110" s="514" t="s">
        <v>521</v>
      </c>
      <c r="L110" s="514" t="s">
        <v>521</v>
      </c>
      <c r="M110" s="514" t="s">
        <v>521</v>
      </c>
      <c r="N110" s="1041" t="s">
        <v>521</v>
      </c>
      <c r="O110" s="1042"/>
      <c r="P110" s="18" t="s">
        <v>89</v>
      </c>
    </row>
    <row r="111" spans="3:17" x14ac:dyDescent="0.25">
      <c r="C111" s="851" t="s">
        <v>951</v>
      </c>
      <c r="D111" s="852"/>
      <c r="E111" s="449">
        <f t="shared" si="4"/>
        <v>0</v>
      </c>
      <c r="F111" s="514" t="s">
        <v>521</v>
      </c>
      <c r="G111" s="514" t="s">
        <v>521</v>
      </c>
      <c r="H111" s="514" t="s">
        <v>521</v>
      </c>
      <c r="I111" s="514" t="s">
        <v>521</v>
      </c>
      <c r="J111" s="514" t="s">
        <v>521</v>
      </c>
      <c r="K111" s="514" t="s">
        <v>521</v>
      </c>
      <c r="L111" s="514" t="s">
        <v>521</v>
      </c>
      <c r="M111" s="514" t="s">
        <v>521</v>
      </c>
      <c r="N111" s="1041" t="s">
        <v>521</v>
      </c>
      <c r="O111" s="1042"/>
      <c r="P111" s="18" t="s">
        <v>89</v>
      </c>
    </row>
    <row r="112" spans="3:17" x14ac:dyDescent="0.25">
      <c r="C112" s="851" t="s">
        <v>952</v>
      </c>
      <c r="D112" s="852"/>
      <c r="E112" s="449">
        <f t="shared" si="4"/>
        <v>0</v>
      </c>
      <c r="F112" s="514" t="s">
        <v>521</v>
      </c>
      <c r="G112" s="514" t="s">
        <v>521</v>
      </c>
      <c r="H112" s="514" t="s">
        <v>521</v>
      </c>
      <c r="I112" s="514" t="s">
        <v>521</v>
      </c>
      <c r="J112" s="514" t="s">
        <v>521</v>
      </c>
      <c r="K112" s="514" t="s">
        <v>521</v>
      </c>
      <c r="L112" s="514" t="s">
        <v>521</v>
      </c>
      <c r="M112" s="514" t="s">
        <v>521</v>
      </c>
      <c r="N112" s="1041" t="s">
        <v>521</v>
      </c>
      <c r="O112" s="1042"/>
      <c r="P112" s="18" t="s">
        <v>89</v>
      </c>
    </row>
    <row r="113" spans="3:16" x14ac:dyDescent="0.25">
      <c r="C113" s="851" t="s">
        <v>962</v>
      </c>
      <c r="D113" s="852"/>
      <c r="E113" s="449">
        <f t="shared" si="4"/>
        <v>0</v>
      </c>
      <c r="F113" s="514" t="s">
        <v>521</v>
      </c>
      <c r="G113" s="514" t="s">
        <v>521</v>
      </c>
      <c r="H113" s="514" t="s">
        <v>521</v>
      </c>
      <c r="I113" s="514" t="s">
        <v>521</v>
      </c>
      <c r="J113" s="514" t="s">
        <v>521</v>
      </c>
      <c r="K113" s="514" t="s">
        <v>521</v>
      </c>
      <c r="L113" s="514" t="s">
        <v>521</v>
      </c>
      <c r="M113" s="514" t="s">
        <v>521</v>
      </c>
      <c r="N113" s="1062"/>
      <c r="O113" s="1063"/>
      <c r="P113" s="18" t="s">
        <v>89</v>
      </c>
    </row>
    <row r="114" spans="3:16" x14ac:dyDescent="0.25">
      <c r="C114" s="849" t="s">
        <v>942</v>
      </c>
      <c r="D114" s="850"/>
      <c r="E114" s="450">
        <f t="shared" si="4"/>
        <v>0</v>
      </c>
      <c r="F114" s="443">
        <f>SUM(F115:F124)</f>
        <v>0</v>
      </c>
      <c r="G114" s="443">
        <f t="shared" ref="G114:L114" si="6">SUM(G115:G124)</f>
        <v>0</v>
      </c>
      <c r="H114" s="443">
        <f t="shared" si="6"/>
        <v>0</v>
      </c>
      <c r="I114" s="443">
        <f t="shared" si="6"/>
        <v>0</v>
      </c>
      <c r="J114" s="443">
        <f t="shared" si="6"/>
        <v>0</v>
      </c>
      <c r="K114" s="443">
        <f t="shared" si="6"/>
        <v>0</v>
      </c>
      <c r="L114" s="443">
        <f t="shared" si="6"/>
        <v>0</v>
      </c>
      <c r="M114" s="528" t="s">
        <v>521</v>
      </c>
      <c r="N114" s="1060"/>
      <c r="O114" s="1061"/>
      <c r="P114" s="18" t="s">
        <v>89</v>
      </c>
    </row>
    <row r="115" spans="3:16" x14ac:dyDescent="0.25">
      <c r="C115" s="851" t="s">
        <v>944</v>
      </c>
      <c r="D115" s="852"/>
      <c r="E115" s="449">
        <f t="shared" si="4"/>
        <v>0</v>
      </c>
      <c r="F115" s="514" t="s">
        <v>521</v>
      </c>
      <c r="G115" s="514" t="s">
        <v>521</v>
      </c>
      <c r="H115" s="514" t="s">
        <v>521</v>
      </c>
      <c r="I115" s="514" t="s">
        <v>521</v>
      </c>
      <c r="J115" s="514" t="s">
        <v>521</v>
      </c>
      <c r="K115" s="514" t="s">
        <v>521</v>
      </c>
      <c r="L115" s="514" t="s">
        <v>521</v>
      </c>
      <c r="M115" s="514" t="s">
        <v>521</v>
      </c>
      <c r="N115" s="1041" t="s">
        <v>521</v>
      </c>
      <c r="O115" s="1042"/>
      <c r="P115" s="18" t="s">
        <v>89</v>
      </c>
    </row>
    <row r="116" spans="3:16" x14ac:dyDescent="0.25">
      <c r="C116" s="851" t="s">
        <v>945</v>
      </c>
      <c r="D116" s="852"/>
      <c r="E116" s="449">
        <f t="shared" si="4"/>
        <v>0</v>
      </c>
      <c r="F116" s="514" t="s">
        <v>521</v>
      </c>
      <c r="G116" s="514" t="s">
        <v>521</v>
      </c>
      <c r="H116" s="514" t="s">
        <v>521</v>
      </c>
      <c r="I116" s="514" t="s">
        <v>521</v>
      </c>
      <c r="J116" s="514" t="s">
        <v>521</v>
      </c>
      <c r="K116" s="514" t="s">
        <v>521</v>
      </c>
      <c r="L116" s="514" t="s">
        <v>521</v>
      </c>
      <c r="M116" s="514" t="s">
        <v>521</v>
      </c>
      <c r="N116" s="1041" t="s">
        <v>521</v>
      </c>
      <c r="O116" s="1042"/>
      <c r="P116" s="18" t="s">
        <v>89</v>
      </c>
    </row>
    <row r="117" spans="3:16" x14ac:dyDescent="0.25">
      <c r="C117" s="851" t="s">
        <v>946</v>
      </c>
      <c r="D117" s="852"/>
      <c r="E117" s="449">
        <f t="shared" si="4"/>
        <v>0</v>
      </c>
      <c r="F117" s="514" t="s">
        <v>521</v>
      </c>
      <c r="G117" s="514" t="s">
        <v>521</v>
      </c>
      <c r="H117" s="514" t="s">
        <v>521</v>
      </c>
      <c r="I117" s="514" t="s">
        <v>521</v>
      </c>
      <c r="J117" s="514" t="s">
        <v>521</v>
      </c>
      <c r="K117" s="514" t="s">
        <v>521</v>
      </c>
      <c r="L117" s="514" t="s">
        <v>521</v>
      </c>
      <c r="M117" s="514" t="s">
        <v>521</v>
      </c>
      <c r="N117" s="1041" t="s">
        <v>521</v>
      </c>
      <c r="O117" s="1042"/>
      <c r="P117" s="18" t="s">
        <v>89</v>
      </c>
    </row>
    <row r="118" spans="3:16" x14ac:dyDescent="0.25">
      <c r="C118" s="851" t="s">
        <v>947</v>
      </c>
      <c r="D118" s="852"/>
      <c r="E118" s="449">
        <f t="shared" si="4"/>
        <v>0</v>
      </c>
      <c r="F118" s="514" t="s">
        <v>521</v>
      </c>
      <c r="G118" s="514" t="s">
        <v>521</v>
      </c>
      <c r="H118" s="514" t="s">
        <v>521</v>
      </c>
      <c r="I118" s="514" t="s">
        <v>521</v>
      </c>
      <c r="J118" s="514" t="s">
        <v>521</v>
      </c>
      <c r="K118" s="514" t="s">
        <v>521</v>
      </c>
      <c r="L118" s="514" t="s">
        <v>521</v>
      </c>
      <c r="M118" s="514" t="s">
        <v>521</v>
      </c>
      <c r="N118" s="1041" t="s">
        <v>521</v>
      </c>
      <c r="O118" s="1042"/>
      <c r="P118" s="18" t="s">
        <v>89</v>
      </c>
    </row>
    <row r="119" spans="3:16" x14ac:dyDescent="0.25">
      <c r="C119" s="851" t="s">
        <v>948</v>
      </c>
      <c r="D119" s="852"/>
      <c r="E119" s="449">
        <f t="shared" si="4"/>
        <v>0</v>
      </c>
      <c r="F119" s="514" t="s">
        <v>521</v>
      </c>
      <c r="G119" s="514" t="s">
        <v>521</v>
      </c>
      <c r="H119" s="514" t="s">
        <v>521</v>
      </c>
      <c r="I119" s="514" t="s">
        <v>521</v>
      </c>
      <c r="J119" s="514" t="s">
        <v>521</v>
      </c>
      <c r="K119" s="514" t="s">
        <v>521</v>
      </c>
      <c r="L119" s="514" t="s">
        <v>521</v>
      </c>
      <c r="M119" s="514" t="s">
        <v>521</v>
      </c>
      <c r="N119" s="1041" t="s">
        <v>521</v>
      </c>
      <c r="O119" s="1042"/>
      <c r="P119" s="18" t="s">
        <v>89</v>
      </c>
    </row>
    <row r="120" spans="3:16" x14ac:dyDescent="0.25">
      <c r="C120" s="851" t="s">
        <v>949</v>
      </c>
      <c r="D120" s="852"/>
      <c r="E120" s="449">
        <f t="shared" si="4"/>
        <v>0</v>
      </c>
      <c r="F120" s="514" t="s">
        <v>521</v>
      </c>
      <c r="G120" s="514" t="s">
        <v>521</v>
      </c>
      <c r="H120" s="514" t="s">
        <v>521</v>
      </c>
      <c r="I120" s="514" t="s">
        <v>521</v>
      </c>
      <c r="J120" s="514" t="s">
        <v>521</v>
      </c>
      <c r="K120" s="514" t="s">
        <v>521</v>
      </c>
      <c r="L120" s="514" t="s">
        <v>521</v>
      </c>
      <c r="M120" s="514" t="s">
        <v>521</v>
      </c>
      <c r="N120" s="1041" t="s">
        <v>521</v>
      </c>
      <c r="O120" s="1042"/>
      <c r="P120" s="18" t="s">
        <v>89</v>
      </c>
    </row>
    <row r="121" spans="3:16" x14ac:dyDescent="0.25">
      <c r="C121" s="851" t="s">
        <v>950</v>
      </c>
      <c r="D121" s="852"/>
      <c r="E121" s="449">
        <f t="shared" si="4"/>
        <v>0</v>
      </c>
      <c r="F121" s="514" t="s">
        <v>521</v>
      </c>
      <c r="G121" s="514" t="s">
        <v>521</v>
      </c>
      <c r="H121" s="514" t="s">
        <v>521</v>
      </c>
      <c r="I121" s="514" t="s">
        <v>521</v>
      </c>
      <c r="J121" s="514" t="s">
        <v>521</v>
      </c>
      <c r="K121" s="514" t="s">
        <v>521</v>
      </c>
      <c r="L121" s="514" t="s">
        <v>521</v>
      </c>
      <c r="M121" s="514" t="s">
        <v>521</v>
      </c>
      <c r="N121" s="1041" t="s">
        <v>521</v>
      </c>
      <c r="O121" s="1042"/>
      <c r="P121" s="18" t="s">
        <v>89</v>
      </c>
    </row>
    <row r="122" spans="3:16" x14ac:dyDescent="0.25">
      <c r="C122" s="851" t="s">
        <v>951</v>
      </c>
      <c r="D122" s="852"/>
      <c r="E122" s="449">
        <f t="shared" si="4"/>
        <v>0</v>
      </c>
      <c r="F122" s="514" t="s">
        <v>521</v>
      </c>
      <c r="G122" s="514" t="s">
        <v>521</v>
      </c>
      <c r="H122" s="514" t="s">
        <v>521</v>
      </c>
      <c r="I122" s="514" t="s">
        <v>521</v>
      </c>
      <c r="J122" s="514" t="s">
        <v>521</v>
      </c>
      <c r="K122" s="514" t="s">
        <v>521</v>
      </c>
      <c r="L122" s="514" t="s">
        <v>521</v>
      </c>
      <c r="M122" s="514" t="s">
        <v>521</v>
      </c>
      <c r="N122" s="1041" t="s">
        <v>521</v>
      </c>
      <c r="O122" s="1042"/>
      <c r="P122" s="18" t="s">
        <v>89</v>
      </c>
    </row>
    <row r="123" spans="3:16" x14ac:dyDescent="0.25">
      <c r="C123" s="851" t="s">
        <v>952</v>
      </c>
      <c r="D123" s="852"/>
      <c r="E123" s="449">
        <f t="shared" si="4"/>
        <v>0</v>
      </c>
      <c r="F123" s="514" t="s">
        <v>521</v>
      </c>
      <c r="G123" s="514" t="s">
        <v>521</v>
      </c>
      <c r="H123" s="514" t="s">
        <v>521</v>
      </c>
      <c r="I123" s="514" t="s">
        <v>521</v>
      </c>
      <c r="J123" s="514" t="s">
        <v>521</v>
      </c>
      <c r="K123" s="514" t="s">
        <v>521</v>
      </c>
      <c r="L123" s="514" t="s">
        <v>521</v>
      </c>
      <c r="M123" s="514" t="s">
        <v>521</v>
      </c>
      <c r="N123" s="1041" t="s">
        <v>521</v>
      </c>
      <c r="O123" s="1042"/>
      <c r="P123" s="18" t="s">
        <v>89</v>
      </c>
    </row>
    <row r="124" spans="3:16" x14ac:dyDescent="0.25">
      <c r="C124" s="851" t="s">
        <v>962</v>
      </c>
      <c r="D124" s="852"/>
      <c r="E124" s="449">
        <f t="shared" si="4"/>
        <v>0</v>
      </c>
      <c r="F124" s="514" t="s">
        <v>521</v>
      </c>
      <c r="G124" s="514" t="s">
        <v>521</v>
      </c>
      <c r="H124" s="514" t="s">
        <v>521</v>
      </c>
      <c r="I124" s="514" t="s">
        <v>521</v>
      </c>
      <c r="J124" s="514" t="s">
        <v>521</v>
      </c>
      <c r="K124" s="514" t="s">
        <v>521</v>
      </c>
      <c r="L124" s="514" t="s">
        <v>521</v>
      </c>
      <c r="M124" s="514" t="s">
        <v>521</v>
      </c>
      <c r="N124" s="1062"/>
      <c r="O124" s="1063"/>
      <c r="P124" s="18" t="s">
        <v>89</v>
      </c>
    </row>
    <row r="125" spans="3:16" x14ac:dyDescent="0.25">
      <c r="C125" s="849" t="s">
        <v>1105</v>
      </c>
      <c r="D125" s="850"/>
      <c r="E125" s="450">
        <f t="shared" si="4"/>
        <v>0</v>
      </c>
      <c r="F125" s="443">
        <f>SUM(F126:F135)</f>
        <v>0</v>
      </c>
      <c r="G125" s="443">
        <f t="shared" ref="G125:L125" si="7">SUM(G126:G135)</f>
        <v>0</v>
      </c>
      <c r="H125" s="443">
        <f t="shared" si="7"/>
        <v>0</v>
      </c>
      <c r="I125" s="443">
        <f t="shared" si="7"/>
        <v>0</v>
      </c>
      <c r="J125" s="443">
        <f t="shared" si="7"/>
        <v>0</v>
      </c>
      <c r="K125" s="443">
        <f t="shared" si="7"/>
        <v>0</v>
      </c>
      <c r="L125" s="443">
        <f t="shared" si="7"/>
        <v>0</v>
      </c>
      <c r="M125" s="528" t="s">
        <v>521</v>
      </c>
      <c r="N125" s="1060"/>
      <c r="O125" s="1061"/>
      <c r="P125" s="18" t="s">
        <v>89</v>
      </c>
    </row>
    <row r="126" spans="3:16" x14ac:dyDescent="0.25">
      <c r="C126" s="851" t="s">
        <v>944</v>
      </c>
      <c r="D126" s="852"/>
      <c r="E126" s="449">
        <f t="shared" si="4"/>
        <v>0</v>
      </c>
      <c r="F126" s="514" t="s">
        <v>521</v>
      </c>
      <c r="G126" s="514" t="s">
        <v>521</v>
      </c>
      <c r="H126" s="514" t="s">
        <v>521</v>
      </c>
      <c r="I126" s="514" t="s">
        <v>521</v>
      </c>
      <c r="J126" s="514" t="s">
        <v>521</v>
      </c>
      <c r="K126" s="514" t="s">
        <v>521</v>
      </c>
      <c r="L126" s="514" t="s">
        <v>521</v>
      </c>
      <c r="M126" s="514" t="s">
        <v>521</v>
      </c>
      <c r="N126" s="1041" t="s">
        <v>521</v>
      </c>
      <c r="O126" s="1042"/>
      <c r="P126" s="18" t="s">
        <v>89</v>
      </c>
    </row>
    <row r="127" spans="3:16" x14ac:dyDescent="0.25">
      <c r="C127" s="851" t="s">
        <v>945</v>
      </c>
      <c r="D127" s="852"/>
      <c r="E127" s="449">
        <f t="shared" si="4"/>
        <v>0</v>
      </c>
      <c r="F127" s="514" t="s">
        <v>521</v>
      </c>
      <c r="G127" s="514" t="s">
        <v>521</v>
      </c>
      <c r="H127" s="514" t="s">
        <v>521</v>
      </c>
      <c r="I127" s="514" t="s">
        <v>521</v>
      </c>
      <c r="J127" s="514" t="s">
        <v>521</v>
      </c>
      <c r="K127" s="514" t="s">
        <v>521</v>
      </c>
      <c r="L127" s="514" t="s">
        <v>521</v>
      </c>
      <c r="M127" s="514" t="s">
        <v>521</v>
      </c>
      <c r="N127" s="1041" t="s">
        <v>521</v>
      </c>
      <c r="O127" s="1042"/>
      <c r="P127" s="18" t="s">
        <v>89</v>
      </c>
    </row>
    <row r="128" spans="3:16" x14ac:dyDescent="0.25">
      <c r="C128" s="851" t="s">
        <v>946</v>
      </c>
      <c r="D128" s="852"/>
      <c r="E128" s="449">
        <f t="shared" si="4"/>
        <v>0</v>
      </c>
      <c r="F128" s="514" t="s">
        <v>521</v>
      </c>
      <c r="G128" s="514" t="s">
        <v>521</v>
      </c>
      <c r="H128" s="514" t="s">
        <v>521</v>
      </c>
      <c r="I128" s="514" t="s">
        <v>521</v>
      </c>
      <c r="J128" s="514" t="s">
        <v>521</v>
      </c>
      <c r="K128" s="514" t="s">
        <v>521</v>
      </c>
      <c r="L128" s="514" t="s">
        <v>521</v>
      </c>
      <c r="M128" s="514" t="s">
        <v>521</v>
      </c>
      <c r="N128" s="1041" t="s">
        <v>521</v>
      </c>
      <c r="O128" s="1042"/>
      <c r="P128" s="18" t="s">
        <v>89</v>
      </c>
    </row>
    <row r="129" spans="3:16" x14ac:dyDescent="0.25">
      <c r="C129" s="851" t="s">
        <v>947</v>
      </c>
      <c r="D129" s="852"/>
      <c r="E129" s="449">
        <f t="shared" si="4"/>
        <v>0</v>
      </c>
      <c r="F129" s="514" t="s">
        <v>521</v>
      </c>
      <c r="G129" s="514" t="s">
        <v>521</v>
      </c>
      <c r="H129" s="514" t="s">
        <v>521</v>
      </c>
      <c r="I129" s="514" t="s">
        <v>521</v>
      </c>
      <c r="J129" s="514" t="s">
        <v>521</v>
      </c>
      <c r="K129" s="514" t="s">
        <v>521</v>
      </c>
      <c r="L129" s="514" t="s">
        <v>521</v>
      </c>
      <c r="M129" s="514" t="s">
        <v>521</v>
      </c>
      <c r="N129" s="1041" t="s">
        <v>521</v>
      </c>
      <c r="O129" s="1042"/>
      <c r="P129" s="18" t="s">
        <v>89</v>
      </c>
    </row>
    <row r="130" spans="3:16" x14ac:dyDescent="0.25">
      <c r="C130" s="851" t="s">
        <v>948</v>
      </c>
      <c r="D130" s="852"/>
      <c r="E130" s="449">
        <f t="shared" si="4"/>
        <v>0</v>
      </c>
      <c r="F130" s="514" t="s">
        <v>521</v>
      </c>
      <c r="G130" s="514" t="s">
        <v>521</v>
      </c>
      <c r="H130" s="514" t="s">
        <v>521</v>
      </c>
      <c r="I130" s="514" t="s">
        <v>521</v>
      </c>
      <c r="J130" s="514" t="s">
        <v>521</v>
      </c>
      <c r="K130" s="514" t="s">
        <v>521</v>
      </c>
      <c r="L130" s="514" t="s">
        <v>521</v>
      </c>
      <c r="M130" s="514" t="s">
        <v>521</v>
      </c>
      <c r="N130" s="1041" t="s">
        <v>521</v>
      </c>
      <c r="O130" s="1042"/>
      <c r="P130" s="18" t="s">
        <v>89</v>
      </c>
    </row>
    <row r="131" spans="3:16" x14ac:dyDescent="0.25">
      <c r="C131" s="851" t="s">
        <v>949</v>
      </c>
      <c r="D131" s="852"/>
      <c r="E131" s="449">
        <f t="shared" si="4"/>
        <v>0</v>
      </c>
      <c r="F131" s="514" t="s">
        <v>521</v>
      </c>
      <c r="G131" s="514" t="s">
        <v>521</v>
      </c>
      <c r="H131" s="514" t="s">
        <v>521</v>
      </c>
      <c r="I131" s="514" t="s">
        <v>521</v>
      </c>
      <c r="J131" s="514" t="s">
        <v>521</v>
      </c>
      <c r="K131" s="514" t="s">
        <v>521</v>
      </c>
      <c r="L131" s="514" t="s">
        <v>521</v>
      </c>
      <c r="M131" s="514" t="s">
        <v>521</v>
      </c>
      <c r="N131" s="1041" t="s">
        <v>521</v>
      </c>
      <c r="O131" s="1042"/>
      <c r="P131" s="18" t="s">
        <v>89</v>
      </c>
    </row>
    <row r="132" spans="3:16" x14ac:dyDescent="0.25">
      <c r="C132" s="851" t="s">
        <v>950</v>
      </c>
      <c r="D132" s="852"/>
      <c r="E132" s="449">
        <f t="shared" si="4"/>
        <v>0</v>
      </c>
      <c r="F132" s="514" t="s">
        <v>521</v>
      </c>
      <c r="G132" s="514" t="s">
        <v>521</v>
      </c>
      <c r="H132" s="514" t="s">
        <v>521</v>
      </c>
      <c r="I132" s="514" t="s">
        <v>521</v>
      </c>
      <c r="J132" s="514" t="s">
        <v>521</v>
      </c>
      <c r="K132" s="514" t="s">
        <v>521</v>
      </c>
      <c r="L132" s="514" t="s">
        <v>521</v>
      </c>
      <c r="M132" s="514" t="s">
        <v>521</v>
      </c>
      <c r="N132" s="1041" t="s">
        <v>521</v>
      </c>
      <c r="O132" s="1042"/>
      <c r="P132" s="18" t="s">
        <v>89</v>
      </c>
    </row>
    <row r="133" spans="3:16" x14ac:dyDescent="0.25">
      <c r="C133" s="851" t="s">
        <v>951</v>
      </c>
      <c r="D133" s="852"/>
      <c r="E133" s="449">
        <f t="shared" si="4"/>
        <v>0</v>
      </c>
      <c r="F133" s="514" t="s">
        <v>521</v>
      </c>
      <c r="G133" s="514" t="s">
        <v>521</v>
      </c>
      <c r="H133" s="514" t="s">
        <v>521</v>
      </c>
      <c r="I133" s="514" t="s">
        <v>521</v>
      </c>
      <c r="J133" s="514" t="s">
        <v>521</v>
      </c>
      <c r="K133" s="514" t="s">
        <v>521</v>
      </c>
      <c r="L133" s="514" t="s">
        <v>521</v>
      </c>
      <c r="M133" s="514" t="s">
        <v>521</v>
      </c>
      <c r="N133" s="1041" t="s">
        <v>521</v>
      </c>
      <c r="O133" s="1042"/>
      <c r="P133" s="18" t="s">
        <v>89</v>
      </c>
    </row>
    <row r="134" spans="3:16" x14ac:dyDescent="0.25">
      <c r="C134" s="851" t="s">
        <v>952</v>
      </c>
      <c r="D134" s="852"/>
      <c r="E134" s="449">
        <f t="shared" si="4"/>
        <v>0</v>
      </c>
      <c r="F134" s="514" t="s">
        <v>521</v>
      </c>
      <c r="G134" s="514" t="s">
        <v>521</v>
      </c>
      <c r="H134" s="514" t="s">
        <v>521</v>
      </c>
      <c r="I134" s="514" t="s">
        <v>521</v>
      </c>
      <c r="J134" s="514" t="s">
        <v>521</v>
      </c>
      <c r="K134" s="514" t="s">
        <v>521</v>
      </c>
      <c r="L134" s="514" t="s">
        <v>521</v>
      </c>
      <c r="M134" s="514" t="s">
        <v>521</v>
      </c>
      <c r="N134" s="1041" t="s">
        <v>521</v>
      </c>
      <c r="O134" s="1042"/>
      <c r="P134" s="18" t="s">
        <v>89</v>
      </c>
    </row>
    <row r="135" spans="3:16" x14ac:dyDescent="0.25">
      <c r="C135" s="851" t="s">
        <v>962</v>
      </c>
      <c r="D135" s="852"/>
      <c r="E135" s="449">
        <f t="shared" ref="E135:E159" si="8">SUM(F135:L135)</f>
        <v>0</v>
      </c>
      <c r="F135" s="514" t="s">
        <v>521</v>
      </c>
      <c r="G135" s="514" t="s">
        <v>521</v>
      </c>
      <c r="H135" s="514" t="s">
        <v>521</v>
      </c>
      <c r="I135" s="514" t="s">
        <v>521</v>
      </c>
      <c r="J135" s="514" t="s">
        <v>521</v>
      </c>
      <c r="K135" s="514" t="s">
        <v>521</v>
      </c>
      <c r="L135" s="514" t="s">
        <v>521</v>
      </c>
      <c r="M135" s="514" t="s">
        <v>521</v>
      </c>
      <c r="N135" s="1062"/>
      <c r="O135" s="1063"/>
      <c r="P135" s="18" t="s">
        <v>89</v>
      </c>
    </row>
    <row r="136" spans="3:16" x14ac:dyDescent="0.25">
      <c r="C136" s="849" t="s">
        <v>78</v>
      </c>
      <c r="D136" s="850"/>
      <c r="E136" s="450">
        <f t="shared" si="8"/>
        <v>0</v>
      </c>
      <c r="F136" s="443">
        <f>SUM(F137:F146)</f>
        <v>0</v>
      </c>
      <c r="G136" s="443">
        <f t="shared" ref="G136:L136" si="9">SUM(G137:G146)</f>
        <v>0</v>
      </c>
      <c r="H136" s="443">
        <f t="shared" si="9"/>
        <v>0</v>
      </c>
      <c r="I136" s="443">
        <f t="shared" si="9"/>
        <v>0</v>
      </c>
      <c r="J136" s="443">
        <f t="shared" si="9"/>
        <v>0</v>
      </c>
      <c r="K136" s="443">
        <f t="shared" si="9"/>
        <v>0</v>
      </c>
      <c r="L136" s="443">
        <f t="shared" si="9"/>
        <v>0</v>
      </c>
      <c r="M136" s="528" t="s">
        <v>521</v>
      </c>
      <c r="N136" s="1060"/>
      <c r="O136" s="1061"/>
      <c r="P136" s="18" t="s">
        <v>89</v>
      </c>
    </row>
    <row r="137" spans="3:16" x14ac:dyDescent="0.25">
      <c r="C137" s="851" t="s">
        <v>944</v>
      </c>
      <c r="D137" s="852"/>
      <c r="E137" s="449">
        <f t="shared" si="8"/>
        <v>0</v>
      </c>
      <c r="F137" s="514" t="s">
        <v>521</v>
      </c>
      <c r="G137" s="514" t="s">
        <v>521</v>
      </c>
      <c r="H137" s="514" t="s">
        <v>521</v>
      </c>
      <c r="I137" s="514" t="s">
        <v>521</v>
      </c>
      <c r="J137" s="514" t="s">
        <v>521</v>
      </c>
      <c r="K137" s="514" t="s">
        <v>521</v>
      </c>
      <c r="L137" s="514" t="s">
        <v>521</v>
      </c>
      <c r="M137" s="514" t="s">
        <v>521</v>
      </c>
      <c r="N137" s="1041" t="s">
        <v>521</v>
      </c>
      <c r="O137" s="1042"/>
      <c r="P137" s="18" t="s">
        <v>89</v>
      </c>
    </row>
    <row r="138" spans="3:16" x14ac:dyDescent="0.25">
      <c r="C138" s="851" t="s">
        <v>945</v>
      </c>
      <c r="D138" s="852"/>
      <c r="E138" s="449">
        <f t="shared" si="8"/>
        <v>0</v>
      </c>
      <c r="F138" s="514" t="s">
        <v>521</v>
      </c>
      <c r="G138" s="514" t="s">
        <v>521</v>
      </c>
      <c r="H138" s="514" t="s">
        <v>521</v>
      </c>
      <c r="I138" s="514" t="s">
        <v>521</v>
      </c>
      <c r="J138" s="514" t="s">
        <v>521</v>
      </c>
      <c r="K138" s="514" t="s">
        <v>521</v>
      </c>
      <c r="L138" s="514" t="s">
        <v>521</v>
      </c>
      <c r="M138" s="514" t="s">
        <v>521</v>
      </c>
      <c r="N138" s="1041" t="s">
        <v>521</v>
      </c>
      <c r="O138" s="1042"/>
      <c r="P138" s="18" t="s">
        <v>89</v>
      </c>
    </row>
    <row r="139" spans="3:16" x14ac:dyDescent="0.25">
      <c r="C139" s="851" t="s">
        <v>946</v>
      </c>
      <c r="D139" s="852"/>
      <c r="E139" s="449">
        <f t="shared" si="8"/>
        <v>0</v>
      </c>
      <c r="F139" s="514" t="s">
        <v>521</v>
      </c>
      <c r="G139" s="514" t="s">
        <v>521</v>
      </c>
      <c r="H139" s="514" t="s">
        <v>521</v>
      </c>
      <c r="I139" s="514" t="s">
        <v>521</v>
      </c>
      <c r="J139" s="514" t="s">
        <v>521</v>
      </c>
      <c r="K139" s="514" t="s">
        <v>521</v>
      </c>
      <c r="L139" s="514" t="s">
        <v>521</v>
      </c>
      <c r="M139" s="514" t="s">
        <v>521</v>
      </c>
      <c r="N139" s="1041" t="s">
        <v>521</v>
      </c>
      <c r="O139" s="1042"/>
      <c r="P139" s="18" t="s">
        <v>89</v>
      </c>
    </row>
    <row r="140" spans="3:16" x14ac:dyDescent="0.25">
      <c r="C140" s="851" t="s">
        <v>947</v>
      </c>
      <c r="D140" s="852"/>
      <c r="E140" s="449">
        <f t="shared" si="8"/>
        <v>0</v>
      </c>
      <c r="F140" s="514" t="s">
        <v>521</v>
      </c>
      <c r="G140" s="514" t="s">
        <v>521</v>
      </c>
      <c r="H140" s="514" t="s">
        <v>521</v>
      </c>
      <c r="I140" s="514" t="s">
        <v>521</v>
      </c>
      <c r="J140" s="514" t="s">
        <v>521</v>
      </c>
      <c r="K140" s="514" t="s">
        <v>521</v>
      </c>
      <c r="L140" s="514" t="s">
        <v>521</v>
      </c>
      <c r="M140" s="514" t="s">
        <v>521</v>
      </c>
      <c r="N140" s="1041" t="s">
        <v>521</v>
      </c>
      <c r="O140" s="1042"/>
      <c r="P140" s="18" t="s">
        <v>89</v>
      </c>
    </row>
    <row r="141" spans="3:16" x14ac:dyDescent="0.25">
      <c r="C141" s="851" t="s">
        <v>948</v>
      </c>
      <c r="D141" s="852"/>
      <c r="E141" s="449">
        <f t="shared" si="8"/>
        <v>0</v>
      </c>
      <c r="F141" s="514" t="s">
        <v>521</v>
      </c>
      <c r="G141" s="514" t="s">
        <v>521</v>
      </c>
      <c r="H141" s="514" t="s">
        <v>521</v>
      </c>
      <c r="I141" s="514" t="s">
        <v>521</v>
      </c>
      <c r="J141" s="514" t="s">
        <v>521</v>
      </c>
      <c r="K141" s="514" t="s">
        <v>521</v>
      </c>
      <c r="L141" s="514" t="s">
        <v>521</v>
      </c>
      <c r="M141" s="514" t="s">
        <v>521</v>
      </c>
      <c r="N141" s="1041" t="s">
        <v>521</v>
      </c>
      <c r="O141" s="1042"/>
      <c r="P141" s="18" t="s">
        <v>89</v>
      </c>
    </row>
    <row r="142" spans="3:16" x14ac:dyDescent="0.25">
      <c r="C142" s="851" t="s">
        <v>949</v>
      </c>
      <c r="D142" s="852"/>
      <c r="E142" s="449">
        <f t="shared" si="8"/>
        <v>0</v>
      </c>
      <c r="F142" s="514" t="s">
        <v>521</v>
      </c>
      <c r="G142" s="514" t="s">
        <v>521</v>
      </c>
      <c r="H142" s="514" t="s">
        <v>521</v>
      </c>
      <c r="I142" s="514" t="s">
        <v>521</v>
      </c>
      <c r="J142" s="514" t="s">
        <v>521</v>
      </c>
      <c r="K142" s="514" t="s">
        <v>521</v>
      </c>
      <c r="L142" s="514" t="s">
        <v>521</v>
      </c>
      <c r="M142" s="514" t="s">
        <v>521</v>
      </c>
      <c r="N142" s="1041" t="s">
        <v>521</v>
      </c>
      <c r="O142" s="1042"/>
      <c r="P142" s="18" t="s">
        <v>89</v>
      </c>
    </row>
    <row r="143" spans="3:16" x14ac:dyDescent="0.25">
      <c r="C143" s="851" t="s">
        <v>950</v>
      </c>
      <c r="D143" s="852"/>
      <c r="E143" s="449">
        <f t="shared" si="8"/>
        <v>0</v>
      </c>
      <c r="F143" s="514" t="s">
        <v>521</v>
      </c>
      <c r="G143" s="514" t="s">
        <v>521</v>
      </c>
      <c r="H143" s="514" t="s">
        <v>521</v>
      </c>
      <c r="I143" s="514" t="s">
        <v>521</v>
      </c>
      <c r="J143" s="514" t="s">
        <v>521</v>
      </c>
      <c r="K143" s="514" t="s">
        <v>521</v>
      </c>
      <c r="L143" s="514" t="s">
        <v>521</v>
      </c>
      <c r="M143" s="514" t="s">
        <v>521</v>
      </c>
      <c r="N143" s="1041" t="s">
        <v>521</v>
      </c>
      <c r="O143" s="1042"/>
      <c r="P143" s="18" t="s">
        <v>89</v>
      </c>
    </row>
    <row r="144" spans="3:16" x14ac:dyDescent="0.25">
      <c r="C144" s="851" t="s">
        <v>951</v>
      </c>
      <c r="D144" s="852"/>
      <c r="E144" s="449">
        <f t="shared" si="8"/>
        <v>0</v>
      </c>
      <c r="F144" s="514" t="s">
        <v>521</v>
      </c>
      <c r="G144" s="514" t="s">
        <v>521</v>
      </c>
      <c r="H144" s="514" t="s">
        <v>521</v>
      </c>
      <c r="I144" s="514" t="s">
        <v>521</v>
      </c>
      <c r="J144" s="514" t="s">
        <v>521</v>
      </c>
      <c r="K144" s="514" t="s">
        <v>521</v>
      </c>
      <c r="L144" s="514" t="s">
        <v>521</v>
      </c>
      <c r="M144" s="514" t="s">
        <v>521</v>
      </c>
      <c r="N144" s="1041" t="s">
        <v>521</v>
      </c>
      <c r="O144" s="1042"/>
      <c r="P144" s="18" t="s">
        <v>89</v>
      </c>
    </row>
    <row r="145" spans="3:17" x14ac:dyDescent="0.25">
      <c r="C145" s="851" t="s">
        <v>952</v>
      </c>
      <c r="D145" s="852"/>
      <c r="E145" s="449">
        <f t="shared" si="8"/>
        <v>0</v>
      </c>
      <c r="F145" s="514" t="s">
        <v>521</v>
      </c>
      <c r="G145" s="514" t="s">
        <v>521</v>
      </c>
      <c r="H145" s="514" t="s">
        <v>521</v>
      </c>
      <c r="I145" s="514" t="s">
        <v>521</v>
      </c>
      <c r="J145" s="514" t="s">
        <v>521</v>
      </c>
      <c r="K145" s="514" t="s">
        <v>521</v>
      </c>
      <c r="L145" s="514" t="s">
        <v>521</v>
      </c>
      <c r="M145" s="514" t="s">
        <v>521</v>
      </c>
      <c r="N145" s="1041" t="s">
        <v>521</v>
      </c>
      <c r="O145" s="1042"/>
      <c r="P145" s="18" t="s">
        <v>89</v>
      </c>
    </row>
    <row r="146" spans="3:17" x14ac:dyDescent="0.25">
      <c r="C146" s="851" t="s">
        <v>962</v>
      </c>
      <c r="D146" s="852"/>
      <c r="E146" s="441">
        <f t="shared" si="8"/>
        <v>0</v>
      </c>
      <c r="F146" s="519" t="s">
        <v>521</v>
      </c>
      <c r="G146" s="519" t="s">
        <v>521</v>
      </c>
      <c r="H146" s="519" t="s">
        <v>521</v>
      </c>
      <c r="I146" s="519" t="s">
        <v>521</v>
      </c>
      <c r="J146" s="519" t="s">
        <v>521</v>
      </c>
      <c r="K146" s="519" t="s">
        <v>521</v>
      </c>
      <c r="L146" s="519" t="s">
        <v>521</v>
      </c>
      <c r="M146" s="519" t="s">
        <v>521</v>
      </c>
      <c r="N146" s="1062"/>
      <c r="O146" s="1063"/>
      <c r="P146" s="18" t="s">
        <v>89</v>
      </c>
    </row>
    <row r="147" spans="3:17" x14ac:dyDescent="0.25">
      <c r="C147" s="849" t="s">
        <v>79</v>
      </c>
      <c r="D147" s="850"/>
      <c r="E147" s="450">
        <f t="shared" si="8"/>
        <v>0</v>
      </c>
      <c r="F147" s="443">
        <f>SUM(F148:F157)</f>
        <v>0</v>
      </c>
      <c r="G147" s="443">
        <f t="shared" ref="G147:L147" si="10">SUM(G148:G157)</f>
        <v>0</v>
      </c>
      <c r="H147" s="443">
        <f t="shared" si="10"/>
        <v>0</v>
      </c>
      <c r="I147" s="443">
        <f t="shared" si="10"/>
        <v>0</v>
      </c>
      <c r="J147" s="443">
        <f t="shared" si="10"/>
        <v>0</v>
      </c>
      <c r="K147" s="443">
        <f t="shared" si="10"/>
        <v>0</v>
      </c>
      <c r="L147" s="443">
        <f t="shared" si="10"/>
        <v>0</v>
      </c>
      <c r="M147" s="528" t="s">
        <v>521</v>
      </c>
      <c r="N147" s="1060"/>
      <c r="O147" s="1061"/>
      <c r="P147" s="18" t="s">
        <v>89</v>
      </c>
    </row>
    <row r="148" spans="3:17" x14ac:dyDescent="0.25">
      <c r="C148" s="851" t="s">
        <v>944</v>
      </c>
      <c r="D148" s="852"/>
      <c r="E148" s="449">
        <f t="shared" si="8"/>
        <v>0</v>
      </c>
      <c r="F148" s="514" t="s">
        <v>521</v>
      </c>
      <c r="G148" s="514" t="s">
        <v>521</v>
      </c>
      <c r="H148" s="514" t="s">
        <v>521</v>
      </c>
      <c r="I148" s="514" t="s">
        <v>521</v>
      </c>
      <c r="J148" s="514" t="s">
        <v>521</v>
      </c>
      <c r="K148" s="514" t="s">
        <v>521</v>
      </c>
      <c r="L148" s="514" t="s">
        <v>521</v>
      </c>
      <c r="M148" s="514" t="s">
        <v>521</v>
      </c>
      <c r="N148" s="1041" t="s">
        <v>521</v>
      </c>
      <c r="O148" s="1042"/>
      <c r="P148" s="18" t="s">
        <v>89</v>
      </c>
    </row>
    <row r="149" spans="3:17" x14ac:dyDescent="0.25">
      <c r="C149" s="851" t="s">
        <v>945</v>
      </c>
      <c r="D149" s="852"/>
      <c r="E149" s="449">
        <f t="shared" si="8"/>
        <v>0</v>
      </c>
      <c r="F149" s="514" t="s">
        <v>521</v>
      </c>
      <c r="G149" s="514" t="s">
        <v>521</v>
      </c>
      <c r="H149" s="514" t="s">
        <v>521</v>
      </c>
      <c r="I149" s="514" t="s">
        <v>521</v>
      </c>
      <c r="J149" s="514" t="s">
        <v>521</v>
      </c>
      <c r="K149" s="514" t="s">
        <v>521</v>
      </c>
      <c r="L149" s="514" t="s">
        <v>521</v>
      </c>
      <c r="M149" s="514" t="s">
        <v>521</v>
      </c>
      <c r="N149" s="1041" t="s">
        <v>521</v>
      </c>
      <c r="O149" s="1042"/>
      <c r="P149" s="18" t="s">
        <v>89</v>
      </c>
    </row>
    <row r="150" spans="3:17" x14ac:dyDescent="0.25">
      <c r="C150" s="851" t="s">
        <v>946</v>
      </c>
      <c r="D150" s="852"/>
      <c r="E150" s="449">
        <f t="shared" si="8"/>
        <v>0</v>
      </c>
      <c r="F150" s="514" t="s">
        <v>521</v>
      </c>
      <c r="G150" s="514" t="s">
        <v>521</v>
      </c>
      <c r="H150" s="514" t="s">
        <v>521</v>
      </c>
      <c r="I150" s="514" t="s">
        <v>521</v>
      </c>
      <c r="J150" s="514" t="s">
        <v>521</v>
      </c>
      <c r="K150" s="514" t="s">
        <v>521</v>
      </c>
      <c r="L150" s="514" t="s">
        <v>521</v>
      </c>
      <c r="M150" s="514" t="s">
        <v>521</v>
      </c>
      <c r="N150" s="1041" t="s">
        <v>521</v>
      </c>
      <c r="O150" s="1042"/>
      <c r="P150" s="18" t="s">
        <v>89</v>
      </c>
    </row>
    <row r="151" spans="3:17" x14ac:dyDescent="0.25">
      <c r="C151" s="851" t="s">
        <v>947</v>
      </c>
      <c r="D151" s="852"/>
      <c r="E151" s="449">
        <f t="shared" si="8"/>
        <v>0</v>
      </c>
      <c r="F151" s="514" t="s">
        <v>521</v>
      </c>
      <c r="G151" s="514" t="s">
        <v>521</v>
      </c>
      <c r="H151" s="514" t="s">
        <v>521</v>
      </c>
      <c r="I151" s="514" t="s">
        <v>521</v>
      </c>
      <c r="J151" s="514" t="s">
        <v>521</v>
      </c>
      <c r="K151" s="514" t="s">
        <v>521</v>
      </c>
      <c r="L151" s="514" t="s">
        <v>521</v>
      </c>
      <c r="M151" s="514" t="s">
        <v>521</v>
      </c>
      <c r="N151" s="1041" t="s">
        <v>521</v>
      </c>
      <c r="O151" s="1042"/>
      <c r="P151" s="18" t="s">
        <v>89</v>
      </c>
    </row>
    <row r="152" spans="3:17" x14ac:dyDescent="0.25">
      <c r="C152" s="851" t="s">
        <v>948</v>
      </c>
      <c r="D152" s="852"/>
      <c r="E152" s="449">
        <f t="shared" si="8"/>
        <v>0</v>
      </c>
      <c r="F152" s="514" t="s">
        <v>521</v>
      </c>
      <c r="G152" s="514" t="s">
        <v>521</v>
      </c>
      <c r="H152" s="514" t="s">
        <v>521</v>
      </c>
      <c r="I152" s="514" t="s">
        <v>521</v>
      </c>
      <c r="J152" s="514" t="s">
        <v>521</v>
      </c>
      <c r="K152" s="514" t="s">
        <v>521</v>
      </c>
      <c r="L152" s="514" t="s">
        <v>521</v>
      </c>
      <c r="M152" s="514" t="s">
        <v>521</v>
      </c>
      <c r="N152" s="1041" t="s">
        <v>521</v>
      </c>
      <c r="O152" s="1042"/>
      <c r="P152" s="18" t="s">
        <v>89</v>
      </c>
    </row>
    <row r="153" spans="3:17" x14ac:dyDescent="0.25">
      <c r="C153" s="851" t="s">
        <v>949</v>
      </c>
      <c r="D153" s="852"/>
      <c r="E153" s="449">
        <f t="shared" si="8"/>
        <v>0</v>
      </c>
      <c r="F153" s="514" t="s">
        <v>521</v>
      </c>
      <c r="G153" s="514" t="s">
        <v>521</v>
      </c>
      <c r="H153" s="514" t="s">
        <v>521</v>
      </c>
      <c r="I153" s="514" t="s">
        <v>521</v>
      </c>
      <c r="J153" s="514" t="s">
        <v>521</v>
      </c>
      <c r="K153" s="514" t="s">
        <v>521</v>
      </c>
      <c r="L153" s="514" t="s">
        <v>521</v>
      </c>
      <c r="M153" s="514" t="s">
        <v>521</v>
      </c>
      <c r="N153" s="1041" t="s">
        <v>521</v>
      </c>
      <c r="O153" s="1042"/>
      <c r="P153" s="18" t="s">
        <v>89</v>
      </c>
    </row>
    <row r="154" spans="3:17" x14ac:dyDescent="0.25">
      <c r="C154" s="851" t="s">
        <v>950</v>
      </c>
      <c r="D154" s="852"/>
      <c r="E154" s="449">
        <f t="shared" si="8"/>
        <v>0</v>
      </c>
      <c r="F154" s="514" t="s">
        <v>521</v>
      </c>
      <c r="G154" s="514" t="s">
        <v>521</v>
      </c>
      <c r="H154" s="514" t="s">
        <v>521</v>
      </c>
      <c r="I154" s="514" t="s">
        <v>521</v>
      </c>
      <c r="J154" s="514" t="s">
        <v>521</v>
      </c>
      <c r="K154" s="514" t="s">
        <v>521</v>
      </c>
      <c r="L154" s="514" t="s">
        <v>521</v>
      </c>
      <c r="M154" s="514" t="s">
        <v>521</v>
      </c>
      <c r="N154" s="1041" t="s">
        <v>521</v>
      </c>
      <c r="O154" s="1042"/>
      <c r="P154" s="18" t="s">
        <v>89</v>
      </c>
    </row>
    <row r="155" spans="3:17" x14ac:dyDescent="0.25">
      <c r="C155" s="851" t="s">
        <v>951</v>
      </c>
      <c r="D155" s="852"/>
      <c r="E155" s="449">
        <f t="shared" si="8"/>
        <v>0</v>
      </c>
      <c r="F155" s="514" t="s">
        <v>521</v>
      </c>
      <c r="G155" s="514" t="s">
        <v>521</v>
      </c>
      <c r="H155" s="514" t="s">
        <v>521</v>
      </c>
      <c r="I155" s="514" t="s">
        <v>521</v>
      </c>
      <c r="J155" s="514" t="s">
        <v>521</v>
      </c>
      <c r="K155" s="514" t="s">
        <v>521</v>
      </c>
      <c r="L155" s="514" t="s">
        <v>521</v>
      </c>
      <c r="M155" s="514" t="s">
        <v>521</v>
      </c>
      <c r="N155" s="1041" t="s">
        <v>521</v>
      </c>
      <c r="O155" s="1042"/>
      <c r="P155" s="18" t="s">
        <v>89</v>
      </c>
    </row>
    <row r="156" spans="3:17" x14ac:dyDescent="0.25">
      <c r="C156" s="851" t="s">
        <v>952</v>
      </c>
      <c r="D156" s="852"/>
      <c r="E156" s="449">
        <f t="shared" si="8"/>
        <v>0</v>
      </c>
      <c r="F156" s="514" t="s">
        <v>521</v>
      </c>
      <c r="G156" s="514" t="s">
        <v>521</v>
      </c>
      <c r="H156" s="514" t="s">
        <v>521</v>
      </c>
      <c r="I156" s="514" t="s">
        <v>521</v>
      </c>
      <c r="J156" s="514" t="s">
        <v>521</v>
      </c>
      <c r="K156" s="514" t="s">
        <v>521</v>
      </c>
      <c r="L156" s="514" t="s">
        <v>521</v>
      </c>
      <c r="M156" s="514" t="s">
        <v>521</v>
      </c>
      <c r="N156" s="1041" t="s">
        <v>521</v>
      </c>
      <c r="O156" s="1042"/>
      <c r="P156" s="18" t="s">
        <v>89</v>
      </c>
    </row>
    <row r="157" spans="3:17" x14ac:dyDescent="0.25">
      <c r="C157" s="851" t="s">
        <v>962</v>
      </c>
      <c r="D157" s="852"/>
      <c r="E157" s="441">
        <f t="shared" si="8"/>
        <v>0</v>
      </c>
      <c r="F157" s="519" t="s">
        <v>521</v>
      </c>
      <c r="G157" s="519" t="s">
        <v>521</v>
      </c>
      <c r="H157" s="519" t="s">
        <v>521</v>
      </c>
      <c r="I157" s="519" t="s">
        <v>521</v>
      </c>
      <c r="J157" s="519" t="s">
        <v>521</v>
      </c>
      <c r="K157" s="519" t="s">
        <v>521</v>
      </c>
      <c r="L157" s="519" t="s">
        <v>521</v>
      </c>
      <c r="M157" s="519" t="s">
        <v>521</v>
      </c>
      <c r="N157" s="1097" t="s">
        <v>521</v>
      </c>
      <c r="O157" s="1098"/>
      <c r="P157" s="18" t="s">
        <v>89</v>
      </c>
    </row>
    <row r="158" spans="3:17" s="300" customFormat="1" x14ac:dyDescent="0.25">
      <c r="C158" s="849" t="s">
        <v>80</v>
      </c>
      <c r="D158" s="853"/>
      <c r="E158" s="449">
        <f t="shared" si="8"/>
        <v>0</v>
      </c>
      <c r="F158" s="518" t="s">
        <v>521</v>
      </c>
      <c r="G158" s="518" t="s">
        <v>521</v>
      </c>
      <c r="H158" s="518" t="s">
        <v>521</v>
      </c>
      <c r="I158" s="518" t="s">
        <v>521</v>
      </c>
      <c r="J158" s="518" t="s">
        <v>521</v>
      </c>
      <c r="K158" s="518" t="s">
        <v>521</v>
      </c>
      <c r="L158" s="518" t="s">
        <v>521</v>
      </c>
      <c r="M158" s="518" t="s">
        <v>521</v>
      </c>
      <c r="N158" s="1099"/>
      <c r="O158" s="1100"/>
      <c r="P158" s="18" t="s">
        <v>89</v>
      </c>
    </row>
    <row r="159" spans="3:17" x14ac:dyDescent="0.25">
      <c r="C159" s="854" t="s">
        <v>514</v>
      </c>
      <c r="D159" s="855"/>
      <c r="E159" s="451">
        <f t="shared" si="8"/>
        <v>0</v>
      </c>
      <c r="F159" s="441">
        <f t="shared" ref="F159:L159" si="11">SUM(F103,F114,F125,F136,F147,F158)</f>
        <v>0</v>
      </c>
      <c r="G159" s="441">
        <f t="shared" si="11"/>
        <v>0</v>
      </c>
      <c r="H159" s="441">
        <f t="shared" si="11"/>
        <v>0</v>
      </c>
      <c r="I159" s="441">
        <f t="shared" si="11"/>
        <v>0</v>
      </c>
      <c r="J159" s="441">
        <f t="shared" si="11"/>
        <v>0</v>
      </c>
      <c r="K159" s="441">
        <f t="shared" si="11"/>
        <v>0</v>
      </c>
      <c r="L159" s="441">
        <f t="shared" si="11"/>
        <v>0</v>
      </c>
      <c r="M159" s="335"/>
      <c r="N159" s="335"/>
      <c r="O159" s="326"/>
      <c r="P159" s="18" t="s">
        <v>89</v>
      </c>
      <c r="Q159" s="402"/>
    </row>
    <row r="160" spans="3:17" x14ac:dyDescent="0.25">
      <c r="P160" s="18" t="s">
        <v>89</v>
      </c>
    </row>
    <row r="161" spans="3:16" x14ac:dyDescent="0.25">
      <c r="C161" s="1043" t="s">
        <v>908</v>
      </c>
      <c r="D161" s="1044"/>
      <c r="F161" s="300"/>
      <c r="G161" s="300"/>
      <c r="H161" s="300"/>
      <c r="I161" s="300"/>
      <c r="J161" s="300"/>
      <c r="K161" s="300"/>
      <c r="P161" s="18" t="s">
        <v>89</v>
      </c>
    </row>
    <row r="162" spans="3:16" x14ac:dyDescent="0.25">
      <c r="C162" s="1045"/>
      <c r="D162" s="1046"/>
      <c r="P162" s="18" t="s">
        <v>89</v>
      </c>
    </row>
    <row r="163" spans="3:16" x14ac:dyDescent="0.25">
      <c r="P163" s="18" t="s">
        <v>89</v>
      </c>
    </row>
    <row r="164" spans="3:16" s="300" customFormat="1" x14ac:dyDescent="0.25">
      <c r="D164" s="776" t="s">
        <v>891</v>
      </c>
      <c r="E164" s="518" t="s">
        <v>521</v>
      </c>
      <c r="P164" s="18" t="s">
        <v>89</v>
      </c>
    </row>
    <row r="165" spans="3:16" s="300" customFormat="1" ht="9" customHeight="1" x14ac:dyDescent="0.25">
      <c r="P165" s="18" t="s">
        <v>89</v>
      </c>
    </row>
    <row r="166" spans="3:16" s="402" customFormat="1" x14ac:dyDescent="0.25">
      <c r="D166" s="1095" t="s">
        <v>1108</v>
      </c>
      <c r="E166" s="1092" t="s">
        <v>514</v>
      </c>
      <c r="F166" s="1091" t="s">
        <v>899</v>
      </c>
      <c r="G166" s="961" t="s">
        <v>433</v>
      </c>
      <c r="H166" s="962"/>
      <c r="I166" s="962"/>
      <c r="J166" s="963"/>
      <c r="K166" s="1094" t="s">
        <v>1107</v>
      </c>
      <c r="P166" s="18" t="s">
        <v>89</v>
      </c>
    </row>
    <row r="167" spans="3:16" ht="28.5" customHeight="1" x14ac:dyDescent="0.25">
      <c r="C167" s="300"/>
      <c r="D167" s="1096"/>
      <c r="E167" s="1093"/>
      <c r="F167" s="1090"/>
      <c r="G167" s="336" t="s">
        <v>1106</v>
      </c>
      <c r="H167" s="336" t="s">
        <v>75</v>
      </c>
      <c r="I167" s="336" t="s">
        <v>905</v>
      </c>
      <c r="J167" s="955" t="s">
        <v>901</v>
      </c>
      <c r="K167" s="1090"/>
      <c r="P167" s="18" t="s">
        <v>89</v>
      </c>
    </row>
    <row r="168" spans="3:16" s="300" customFormat="1" ht="15" customHeight="1" x14ac:dyDescent="0.25">
      <c r="D168" s="950" t="s">
        <v>1134</v>
      </c>
      <c r="E168" s="448">
        <f>SUM(F168:K168)</f>
        <v>0</v>
      </c>
      <c r="F168" s="448">
        <f>SUM(E264:N264)</f>
        <v>0</v>
      </c>
      <c r="G168" s="448">
        <f>SUM(E359:I359)</f>
        <v>0</v>
      </c>
      <c r="H168" s="557">
        <f>SUM(J359:N359)</f>
        <v>0</v>
      </c>
      <c r="I168" s="448">
        <f>SUM(E454:I454)</f>
        <v>0</v>
      </c>
      <c r="J168" s="448">
        <f>SUM(J454:N454)</f>
        <v>0</v>
      </c>
      <c r="K168" s="518" t="s">
        <v>521</v>
      </c>
      <c r="P168" s="18" t="s">
        <v>89</v>
      </c>
    </row>
    <row r="169" spans="3:16" s="300" customFormat="1" ht="12.75" customHeight="1" x14ac:dyDescent="0.25">
      <c r="D169" s="311" t="s">
        <v>41</v>
      </c>
      <c r="E169" s="954"/>
      <c r="F169" s="954"/>
      <c r="G169" s="954"/>
      <c r="H169" s="954"/>
      <c r="I169" s="954"/>
      <c r="J169" s="954"/>
      <c r="K169" s="954"/>
      <c r="P169" s="18" t="s">
        <v>89</v>
      </c>
    </row>
    <row r="170" spans="3:16" s="300" customFormat="1" x14ac:dyDescent="0.25">
      <c r="D170" s="856">
        <v>1</v>
      </c>
      <c r="E170" s="557">
        <f t="shared" ref="E170:E233" si="12">SUM(F170:K170)</f>
        <v>0</v>
      </c>
      <c r="F170" s="557">
        <f>SUM(E266:N266)</f>
        <v>0</v>
      </c>
      <c r="G170" s="557">
        <f>SUM(E361:I361)</f>
        <v>0</v>
      </c>
      <c r="H170" s="557">
        <f>SUM(J361:N361)</f>
        <v>0</v>
      </c>
      <c r="I170" s="557">
        <f>SUM(E456:I456)</f>
        <v>0</v>
      </c>
      <c r="J170" s="557">
        <f>SUM(J456:N456)</f>
        <v>0</v>
      </c>
      <c r="K170" s="548" t="s">
        <v>521</v>
      </c>
      <c r="P170" s="18" t="s">
        <v>89</v>
      </c>
    </row>
    <row r="171" spans="3:16" s="300" customFormat="1" x14ac:dyDescent="0.25">
      <c r="D171" s="857">
        <v>2</v>
      </c>
      <c r="E171" s="558">
        <f t="shared" si="12"/>
        <v>0</v>
      </c>
      <c r="F171" s="558">
        <f t="shared" ref="F171:F234" si="13">SUM(E267:N267)</f>
        <v>0</v>
      </c>
      <c r="G171" s="558">
        <f t="shared" ref="G171:G234" si="14">SUM(E362:I362)</f>
        <v>0</v>
      </c>
      <c r="H171" s="558">
        <f t="shared" ref="H171:H234" si="15">SUM(J362:N362)</f>
        <v>0</v>
      </c>
      <c r="I171" s="558">
        <f t="shared" ref="I171:I234" si="16">SUM(E457:I457)</f>
        <v>0</v>
      </c>
      <c r="J171" s="558">
        <f t="shared" ref="J171:J234" si="17">SUM(J457:N457)</f>
        <v>0</v>
      </c>
      <c r="K171" s="549" t="s">
        <v>521</v>
      </c>
      <c r="P171" s="18" t="s">
        <v>89</v>
      </c>
    </row>
    <row r="172" spans="3:16" s="300" customFormat="1" x14ac:dyDescent="0.25">
      <c r="D172" s="857">
        <v>3</v>
      </c>
      <c r="E172" s="558">
        <f t="shared" si="12"/>
        <v>0</v>
      </c>
      <c r="F172" s="558">
        <f t="shared" si="13"/>
        <v>0</v>
      </c>
      <c r="G172" s="558">
        <f t="shared" si="14"/>
        <v>0</v>
      </c>
      <c r="H172" s="558">
        <f t="shared" si="15"/>
        <v>0</v>
      </c>
      <c r="I172" s="558">
        <f t="shared" si="16"/>
        <v>0</v>
      </c>
      <c r="J172" s="558">
        <f t="shared" si="17"/>
        <v>0</v>
      </c>
      <c r="K172" s="549" t="s">
        <v>521</v>
      </c>
      <c r="P172" s="18" t="s">
        <v>89</v>
      </c>
    </row>
    <row r="173" spans="3:16" s="300" customFormat="1" x14ac:dyDescent="0.25">
      <c r="D173" s="857">
        <v>4</v>
      </c>
      <c r="E173" s="558">
        <f t="shared" si="12"/>
        <v>0</v>
      </c>
      <c r="F173" s="558">
        <f t="shared" si="13"/>
        <v>0</v>
      </c>
      <c r="G173" s="558">
        <f t="shared" si="14"/>
        <v>0</v>
      </c>
      <c r="H173" s="558">
        <f t="shared" si="15"/>
        <v>0</v>
      </c>
      <c r="I173" s="558">
        <f t="shared" si="16"/>
        <v>0</v>
      </c>
      <c r="J173" s="558">
        <f t="shared" si="17"/>
        <v>0</v>
      </c>
      <c r="K173" s="549" t="s">
        <v>521</v>
      </c>
      <c r="P173" s="18" t="s">
        <v>89</v>
      </c>
    </row>
    <row r="174" spans="3:16" s="300" customFormat="1" x14ac:dyDescent="0.25">
      <c r="D174" s="857">
        <v>5</v>
      </c>
      <c r="E174" s="558">
        <f t="shared" si="12"/>
        <v>0</v>
      </c>
      <c r="F174" s="558">
        <f t="shared" si="13"/>
        <v>0</v>
      </c>
      <c r="G174" s="558">
        <f t="shared" si="14"/>
        <v>0</v>
      </c>
      <c r="H174" s="558">
        <f t="shared" si="15"/>
        <v>0</v>
      </c>
      <c r="I174" s="558">
        <f t="shared" si="16"/>
        <v>0</v>
      </c>
      <c r="J174" s="558">
        <f t="shared" si="17"/>
        <v>0</v>
      </c>
      <c r="K174" s="549" t="s">
        <v>521</v>
      </c>
      <c r="P174" s="18" t="s">
        <v>89</v>
      </c>
    </row>
    <row r="175" spans="3:16" s="300" customFormat="1" x14ac:dyDescent="0.25">
      <c r="D175" s="857">
        <v>6</v>
      </c>
      <c r="E175" s="558">
        <f t="shared" si="12"/>
        <v>0</v>
      </c>
      <c r="F175" s="558">
        <f t="shared" si="13"/>
        <v>0</v>
      </c>
      <c r="G175" s="558">
        <f t="shared" si="14"/>
        <v>0</v>
      </c>
      <c r="H175" s="558">
        <f t="shared" si="15"/>
        <v>0</v>
      </c>
      <c r="I175" s="558">
        <f t="shared" si="16"/>
        <v>0</v>
      </c>
      <c r="J175" s="558">
        <f t="shared" si="17"/>
        <v>0</v>
      </c>
      <c r="K175" s="549" t="s">
        <v>521</v>
      </c>
      <c r="P175" s="18" t="s">
        <v>89</v>
      </c>
    </row>
    <row r="176" spans="3:16" s="300" customFormat="1" x14ac:dyDescent="0.25">
      <c r="D176" s="857">
        <v>7</v>
      </c>
      <c r="E176" s="558">
        <f t="shared" si="12"/>
        <v>0</v>
      </c>
      <c r="F176" s="558">
        <f t="shared" si="13"/>
        <v>0</v>
      </c>
      <c r="G176" s="558">
        <f t="shared" si="14"/>
        <v>0</v>
      </c>
      <c r="H176" s="558">
        <f t="shared" si="15"/>
        <v>0</v>
      </c>
      <c r="I176" s="558">
        <f t="shared" si="16"/>
        <v>0</v>
      </c>
      <c r="J176" s="558">
        <f t="shared" si="17"/>
        <v>0</v>
      </c>
      <c r="K176" s="549" t="s">
        <v>521</v>
      </c>
      <c r="P176" s="18" t="s">
        <v>89</v>
      </c>
    </row>
    <row r="177" spans="4:16" s="300" customFormat="1" x14ac:dyDescent="0.25">
      <c r="D177" s="857">
        <v>8</v>
      </c>
      <c r="E177" s="558">
        <f t="shared" si="12"/>
        <v>0</v>
      </c>
      <c r="F177" s="558">
        <f t="shared" si="13"/>
        <v>0</v>
      </c>
      <c r="G177" s="558">
        <f t="shared" si="14"/>
        <v>0</v>
      </c>
      <c r="H177" s="558">
        <f t="shared" si="15"/>
        <v>0</v>
      </c>
      <c r="I177" s="558">
        <f t="shared" si="16"/>
        <v>0</v>
      </c>
      <c r="J177" s="558">
        <f t="shared" si="17"/>
        <v>0</v>
      </c>
      <c r="K177" s="549" t="s">
        <v>521</v>
      </c>
      <c r="P177" s="18" t="s">
        <v>89</v>
      </c>
    </row>
    <row r="178" spans="4:16" s="300" customFormat="1" x14ac:dyDescent="0.25">
      <c r="D178" s="857">
        <v>9</v>
      </c>
      <c r="E178" s="558">
        <f t="shared" si="12"/>
        <v>0</v>
      </c>
      <c r="F178" s="558">
        <f t="shared" si="13"/>
        <v>0</v>
      </c>
      <c r="G178" s="558">
        <f t="shared" si="14"/>
        <v>0</v>
      </c>
      <c r="H178" s="558">
        <f t="shared" si="15"/>
        <v>0</v>
      </c>
      <c r="I178" s="558">
        <f t="shared" si="16"/>
        <v>0</v>
      </c>
      <c r="J178" s="558">
        <f t="shared" si="17"/>
        <v>0</v>
      </c>
      <c r="K178" s="549" t="s">
        <v>521</v>
      </c>
      <c r="P178" s="18" t="s">
        <v>89</v>
      </c>
    </row>
    <row r="179" spans="4:16" s="300" customFormat="1" x14ac:dyDescent="0.25">
      <c r="D179" s="857">
        <v>10</v>
      </c>
      <c r="E179" s="558">
        <f t="shared" si="12"/>
        <v>0</v>
      </c>
      <c r="F179" s="558">
        <f t="shared" si="13"/>
        <v>0</v>
      </c>
      <c r="G179" s="558">
        <f t="shared" si="14"/>
        <v>0</v>
      </c>
      <c r="H179" s="558">
        <f t="shared" si="15"/>
        <v>0</v>
      </c>
      <c r="I179" s="558">
        <f t="shared" si="16"/>
        <v>0</v>
      </c>
      <c r="J179" s="558">
        <f t="shared" si="17"/>
        <v>0</v>
      </c>
      <c r="K179" s="549" t="s">
        <v>521</v>
      </c>
      <c r="P179" s="18" t="s">
        <v>89</v>
      </c>
    </row>
    <row r="180" spans="4:16" s="300" customFormat="1" x14ac:dyDescent="0.25">
      <c r="D180" s="857">
        <v>11</v>
      </c>
      <c r="E180" s="558">
        <f t="shared" si="12"/>
        <v>0</v>
      </c>
      <c r="F180" s="558">
        <f t="shared" si="13"/>
        <v>0</v>
      </c>
      <c r="G180" s="558">
        <f t="shared" si="14"/>
        <v>0</v>
      </c>
      <c r="H180" s="558">
        <f t="shared" si="15"/>
        <v>0</v>
      </c>
      <c r="I180" s="558">
        <f t="shared" si="16"/>
        <v>0</v>
      </c>
      <c r="J180" s="558">
        <f t="shared" si="17"/>
        <v>0</v>
      </c>
      <c r="K180" s="549" t="s">
        <v>521</v>
      </c>
      <c r="P180" s="18" t="s">
        <v>89</v>
      </c>
    </row>
    <row r="181" spans="4:16" s="300" customFormat="1" x14ac:dyDescent="0.25">
      <c r="D181" s="857">
        <v>12</v>
      </c>
      <c r="E181" s="558">
        <f t="shared" si="12"/>
        <v>0</v>
      </c>
      <c r="F181" s="558">
        <f t="shared" si="13"/>
        <v>0</v>
      </c>
      <c r="G181" s="558">
        <f t="shared" si="14"/>
        <v>0</v>
      </c>
      <c r="H181" s="558">
        <f t="shared" si="15"/>
        <v>0</v>
      </c>
      <c r="I181" s="558">
        <f t="shared" si="16"/>
        <v>0</v>
      </c>
      <c r="J181" s="558">
        <f t="shared" si="17"/>
        <v>0</v>
      </c>
      <c r="K181" s="549" t="s">
        <v>521</v>
      </c>
      <c r="P181" s="18" t="s">
        <v>89</v>
      </c>
    </row>
    <row r="182" spans="4:16" s="300" customFormat="1" x14ac:dyDescent="0.25">
      <c r="D182" s="857">
        <v>13</v>
      </c>
      <c r="E182" s="558">
        <f t="shared" si="12"/>
        <v>0</v>
      </c>
      <c r="F182" s="558">
        <f t="shared" si="13"/>
        <v>0</v>
      </c>
      <c r="G182" s="558">
        <f t="shared" si="14"/>
        <v>0</v>
      </c>
      <c r="H182" s="558">
        <f t="shared" si="15"/>
        <v>0</v>
      </c>
      <c r="I182" s="558">
        <f t="shared" si="16"/>
        <v>0</v>
      </c>
      <c r="J182" s="558">
        <f t="shared" si="17"/>
        <v>0</v>
      </c>
      <c r="K182" s="549" t="s">
        <v>521</v>
      </c>
      <c r="P182" s="18" t="s">
        <v>89</v>
      </c>
    </row>
    <row r="183" spans="4:16" s="300" customFormat="1" x14ac:dyDescent="0.25">
      <c r="D183" s="857">
        <v>14</v>
      </c>
      <c r="E183" s="558">
        <f t="shared" si="12"/>
        <v>0</v>
      </c>
      <c r="F183" s="558">
        <f t="shared" si="13"/>
        <v>0</v>
      </c>
      <c r="G183" s="558">
        <f t="shared" si="14"/>
        <v>0</v>
      </c>
      <c r="H183" s="558">
        <f t="shared" si="15"/>
        <v>0</v>
      </c>
      <c r="I183" s="558">
        <f t="shared" si="16"/>
        <v>0</v>
      </c>
      <c r="J183" s="558">
        <f t="shared" si="17"/>
        <v>0</v>
      </c>
      <c r="K183" s="549" t="s">
        <v>521</v>
      </c>
      <c r="P183" s="18" t="s">
        <v>89</v>
      </c>
    </row>
    <row r="184" spans="4:16" s="300" customFormat="1" x14ac:dyDescent="0.25">
      <c r="D184" s="857">
        <v>15</v>
      </c>
      <c r="E184" s="558">
        <f t="shared" si="12"/>
        <v>0</v>
      </c>
      <c r="F184" s="558">
        <f t="shared" si="13"/>
        <v>0</v>
      </c>
      <c r="G184" s="558">
        <f t="shared" si="14"/>
        <v>0</v>
      </c>
      <c r="H184" s="558">
        <f t="shared" si="15"/>
        <v>0</v>
      </c>
      <c r="I184" s="558">
        <f t="shared" si="16"/>
        <v>0</v>
      </c>
      <c r="J184" s="558">
        <f t="shared" si="17"/>
        <v>0</v>
      </c>
      <c r="K184" s="549" t="s">
        <v>521</v>
      </c>
      <c r="P184" s="18" t="s">
        <v>89</v>
      </c>
    </row>
    <row r="185" spans="4:16" s="300" customFormat="1" x14ac:dyDescent="0.25">
      <c r="D185" s="857">
        <v>16</v>
      </c>
      <c r="E185" s="558">
        <f t="shared" si="12"/>
        <v>0</v>
      </c>
      <c r="F185" s="558">
        <f t="shared" si="13"/>
        <v>0</v>
      </c>
      <c r="G185" s="558">
        <f t="shared" si="14"/>
        <v>0</v>
      </c>
      <c r="H185" s="558">
        <f t="shared" si="15"/>
        <v>0</v>
      </c>
      <c r="I185" s="558">
        <f t="shared" si="16"/>
        <v>0</v>
      </c>
      <c r="J185" s="558">
        <f t="shared" si="17"/>
        <v>0</v>
      </c>
      <c r="K185" s="549" t="s">
        <v>521</v>
      </c>
      <c r="P185" s="18" t="s">
        <v>89</v>
      </c>
    </row>
    <row r="186" spans="4:16" s="300" customFormat="1" x14ac:dyDescent="0.25">
      <c r="D186" s="857">
        <v>17</v>
      </c>
      <c r="E186" s="558">
        <f t="shared" si="12"/>
        <v>0</v>
      </c>
      <c r="F186" s="558">
        <f t="shared" si="13"/>
        <v>0</v>
      </c>
      <c r="G186" s="558">
        <f t="shared" si="14"/>
        <v>0</v>
      </c>
      <c r="H186" s="558">
        <f t="shared" si="15"/>
        <v>0</v>
      </c>
      <c r="I186" s="558">
        <f t="shared" si="16"/>
        <v>0</v>
      </c>
      <c r="J186" s="558">
        <f t="shared" si="17"/>
        <v>0</v>
      </c>
      <c r="K186" s="549" t="s">
        <v>521</v>
      </c>
      <c r="P186" s="18" t="s">
        <v>89</v>
      </c>
    </row>
    <row r="187" spans="4:16" s="300" customFormat="1" x14ac:dyDescent="0.25">
      <c r="D187" s="857">
        <v>18</v>
      </c>
      <c r="E187" s="558">
        <f t="shared" si="12"/>
        <v>0</v>
      </c>
      <c r="F187" s="558">
        <f t="shared" si="13"/>
        <v>0</v>
      </c>
      <c r="G187" s="558">
        <f t="shared" si="14"/>
        <v>0</v>
      </c>
      <c r="H187" s="558">
        <f t="shared" si="15"/>
        <v>0</v>
      </c>
      <c r="I187" s="558">
        <f t="shared" si="16"/>
        <v>0</v>
      </c>
      <c r="J187" s="558">
        <f t="shared" si="17"/>
        <v>0</v>
      </c>
      <c r="K187" s="549" t="s">
        <v>521</v>
      </c>
      <c r="P187" s="18" t="s">
        <v>89</v>
      </c>
    </row>
    <row r="188" spans="4:16" s="300" customFormat="1" x14ac:dyDescent="0.25">
      <c r="D188" s="857">
        <v>19</v>
      </c>
      <c r="E188" s="558">
        <f t="shared" si="12"/>
        <v>0</v>
      </c>
      <c r="F188" s="558">
        <f t="shared" si="13"/>
        <v>0</v>
      </c>
      <c r="G188" s="558">
        <f t="shared" si="14"/>
        <v>0</v>
      </c>
      <c r="H188" s="558">
        <f t="shared" si="15"/>
        <v>0</v>
      </c>
      <c r="I188" s="558">
        <f t="shared" si="16"/>
        <v>0</v>
      </c>
      <c r="J188" s="558">
        <f t="shared" si="17"/>
        <v>0</v>
      </c>
      <c r="K188" s="549" t="s">
        <v>521</v>
      </c>
      <c r="P188" s="18" t="s">
        <v>89</v>
      </c>
    </row>
    <row r="189" spans="4:16" s="300" customFormat="1" x14ac:dyDescent="0.25">
      <c r="D189" s="857">
        <v>20</v>
      </c>
      <c r="E189" s="558">
        <f t="shared" si="12"/>
        <v>0</v>
      </c>
      <c r="F189" s="558">
        <f t="shared" si="13"/>
        <v>0</v>
      </c>
      <c r="G189" s="558">
        <f t="shared" si="14"/>
        <v>0</v>
      </c>
      <c r="H189" s="558">
        <f t="shared" si="15"/>
        <v>0</v>
      </c>
      <c r="I189" s="558">
        <f t="shared" si="16"/>
        <v>0</v>
      </c>
      <c r="J189" s="558">
        <f t="shared" si="17"/>
        <v>0</v>
      </c>
      <c r="K189" s="549" t="s">
        <v>521</v>
      </c>
      <c r="P189" s="18" t="s">
        <v>89</v>
      </c>
    </row>
    <row r="190" spans="4:16" s="300" customFormat="1" x14ac:dyDescent="0.25">
      <c r="D190" s="857">
        <v>21</v>
      </c>
      <c r="E190" s="558">
        <f t="shared" si="12"/>
        <v>0</v>
      </c>
      <c r="F190" s="558">
        <f t="shared" si="13"/>
        <v>0</v>
      </c>
      <c r="G190" s="558">
        <f t="shared" si="14"/>
        <v>0</v>
      </c>
      <c r="H190" s="558">
        <f t="shared" si="15"/>
        <v>0</v>
      </c>
      <c r="I190" s="558">
        <f t="shared" si="16"/>
        <v>0</v>
      </c>
      <c r="J190" s="558">
        <f t="shared" si="17"/>
        <v>0</v>
      </c>
      <c r="K190" s="549" t="s">
        <v>521</v>
      </c>
      <c r="P190" s="18" t="s">
        <v>89</v>
      </c>
    </row>
    <row r="191" spans="4:16" s="300" customFormat="1" x14ac:dyDescent="0.25">
      <c r="D191" s="857">
        <v>22</v>
      </c>
      <c r="E191" s="558">
        <f t="shared" si="12"/>
        <v>0</v>
      </c>
      <c r="F191" s="558">
        <f t="shared" si="13"/>
        <v>0</v>
      </c>
      <c r="G191" s="558">
        <f t="shared" si="14"/>
        <v>0</v>
      </c>
      <c r="H191" s="558">
        <f t="shared" si="15"/>
        <v>0</v>
      </c>
      <c r="I191" s="558">
        <f t="shared" si="16"/>
        <v>0</v>
      </c>
      <c r="J191" s="558">
        <f t="shared" si="17"/>
        <v>0</v>
      </c>
      <c r="K191" s="549" t="s">
        <v>521</v>
      </c>
      <c r="P191" s="18" t="s">
        <v>89</v>
      </c>
    </row>
    <row r="192" spans="4:16" s="300" customFormat="1" x14ac:dyDescent="0.25">
      <c r="D192" s="857">
        <v>23</v>
      </c>
      <c r="E192" s="558">
        <f t="shared" si="12"/>
        <v>0</v>
      </c>
      <c r="F192" s="558">
        <f t="shared" si="13"/>
        <v>0</v>
      </c>
      <c r="G192" s="558">
        <f t="shared" si="14"/>
        <v>0</v>
      </c>
      <c r="H192" s="558">
        <f t="shared" si="15"/>
        <v>0</v>
      </c>
      <c r="I192" s="558">
        <f t="shared" si="16"/>
        <v>0</v>
      </c>
      <c r="J192" s="558">
        <f t="shared" si="17"/>
        <v>0</v>
      </c>
      <c r="K192" s="549" t="s">
        <v>521</v>
      </c>
      <c r="P192" s="18" t="s">
        <v>89</v>
      </c>
    </row>
    <row r="193" spans="4:16" s="300" customFormat="1" x14ac:dyDescent="0.25">
      <c r="D193" s="857">
        <v>24</v>
      </c>
      <c r="E193" s="558">
        <f t="shared" si="12"/>
        <v>0</v>
      </c>
      <c r="F193" s="558">
        <f t="shared" si="13"/>
        <v>0</v>
      </c>
      <c r="G193" s="558">
        <f t="shared" si="14"/>
        <v>0</v>
      </c>
      <c r="H193" s="558">
        <f t="shared" si="15"/>
        <v>0</v>
      </c>
      <c r="I193" s="558">
        <f t="shared" si="16"/>
        <v>0</v>
      </c>
      <c r="J193" s="558">
        <f t="shared" si="17"/>
        <v>0</v>
      </c>
      <c r="K193" s="549" t="s">
        <v>521</v>
      </c>
      <c r="P193" s="18" t="s">
        <v>89</v>
      </c>
    </row>
    <row r="194" spans="4:16" s="300" customFormat="1" x14ac:dyDescent="0.25">
      <c r="D194" s="857">
        <v>25</v>
      </c>
      <c r="E194" s="558">
        <f t="shared" si="12"/>
        <v>0</v>
      </c>
      <c r="F194" s="558">
        <f t="shared" si="13"/>
        <v>0</v>
      </c>
      <c r="G194" s="558">
        <f t="shared" si="14"/>
        <v>0</v>
      </c>
      <c r="H194" s="558">
        <f t="shared" si="15"/>
        <v>0</v>
      </c>
      <c r="I194" s="558">
        <f t="shared" si="16"/>
        <v>0</v>
      </c>
      <c r="J194" s="558">
        <f t="shared" si="17"/>
        <v>0</v>
      </c>
      <c r="K194" s="549" t="s">
        <v>521</v>
      </c>
      <c r="P194" s="18" t="s">
        <v>89</v>
      </c>
    </row>
    <row r="195" spans="4:16" s="300" customFormat="1" x14ac:dyDescent="0.25">
      <c r="D195" s="857">
        <v>26</v>
      </c>
      <c r="E195" s="558">
        <f t="shared" si="12"/>
        <v>0</v>
      </c>
      <c r="F195" s="558">
        <f t="shared" si="13"/>
        <v>0</v>
      </c>
      <c r="G195" s="558">
        <f t="shared" si="14"/>
        <v>0</v>
      </c>
      <c r="H195" s="558">
        <f t="shared" si="15"/>
        <v>0</v>
      </c>
      <c r="I195" s="558">
        <f t="shared" si="16"/>
        <v>0</v>
      </c>
      <c r="J195" s="558">
        <f t="shared" si="17"/>
        <v>0</v>
      </c>
      <c r="K195" s="549" t="s">
        <v>521</v>
      </c>
      <c r="P195" s="18" t="s">
        <v>89</v>
      </c>
    </row>
    <row r="196" spans="4:16" s="300" customFormat="1" x14ac:dyDescent="0.25">
      <c r="D196" s="857">
        <v>27</v>
      </c>
      <c r="E196" s="558">
        <f t="shared" si="12"/>
        <v>0</v>
      </c>
      <c r="F196" s="558">
        <f t="shared" si="13"/>
        <v>0</v>
      </c>
      <c r="G196" s="558">
        <f t="shared" si="14"/>
        <v>0</v>
      </c>
      <c r="H196" s="558">
        <f t="shared" si="15"/>
        <v>0</v>
      </c>
      <c r="I196" s="558">
        <f t="shared" si="16"/>
        <v>0</v>
      </c>
      <c r="J196" s="558">
        <f t="shared" si="17"/>
        <v>0</v>
      </c>
      <c r="K196" s="549" t="s">
        <v>521</v>
      </c>
      <c r="P196" s="18" t="s">
        <v>89</v>
      </c>
    </row>
    <row r="197" spans="4:16" s="300" customFormat="1" x14ac:dyDescent="0.25">
      <c r="D197" s="857">
        <v>28</v>
      </c>
      <c r="E197" s="558">
        <f t="shared" si="12"/>
        <v>0</v>
      </c>
      <c r="F197" s="558">
        <f t="shared" si="13"/>
        <v>0</v>
      </c>
      <c r="G197" s="558">
        <f t="shared" si="14"/>
        <v>0</v>
      </c>
      <c r="H197" s="558">
        <f t="shared" si="15"/>
        <v>0</v>
      </c>
      <c r="I197" s="558">
        <f t="shared" si="16"/>
        <v>0</v>
      </c>
      <c r="J197" s="558">
        <f t="shared" si="17"/>
        <v>0</v>
      </c>
      <c r="K197" s="549" t="s">
        <v>521</v>
      </c>
      <c r="P197" s="18" t="s">
        <v>89</v>
      </c>
    </row>
    <row r="198" spans="4:16" s="300" customFormat="1" x14ac:dyDescent="0.25">
      <c r="D198" s="857">
        <v>29</v>
      </c>
      <c r="E198" s="558">
        <f t="shared" si="12"/>
        <v>0</v>
      </c>
      <c r="F198" s="558">
        <f t="shared" si="13"/>
        <v>0</v>
      </c>
      <c r="G198" s="558">
        <f t="shared" si="14"/>
        <v>0</v>
      </c>
      <c r="H198" s="558">
        <f t="shared" si="15"/>
        <v>0</v>
      </c>
      <c r="I198" s="558">
        <f t="shared" si="16"/>
        <v>0</v>
      </c>
      <c r="J198" s="558">
        <f t="shared" si="17"/>
        <v>0</v>
      </c>
      <c r="K198" s="549" t="s">
        <v>521</v>
      </c>
      <c r="P198" s="18" t="s">
        <v>89</v>
      </c>
    </row>
    <row r="199" spans="4:16" s="300" customFormat="1" x14ac:dyDescent="0.25">
      <c r="D199" s="857">
        <v>30</v>
      </c>
      <c r="E199" s="558">
        <f t="shared" si="12"/>
        <v>0</v>
      </c>
      <c r="F199" s="558">
        <f t="shared" si="13"/>
        <v>0</v>
      </c>
      <c r="G199" s="558">
        <f t="shared" si="14"/>
        <v>0</v>
      </c>
      <c r="H199" s="558">
        <f t="shared" si="15"/>
        <v>0</v>
      </c>
      <c r="I199" s="558">
        <f t="shared" si="16"/>
        <v>0</v>
      </c>
      <c r="J199" s="558">
        <f t="shared" si="17"/>
        <v>0</v>
      </c>
      <c r="K199" s="549" t="s">
        <v>521</v>
      </c>
      <c r="P199" s="18" t="s">
        <v>89</v>
      </c>
    </row>
    <row r="200" spans="4:16" s="300" customFormat="1" x14ac:dyDescent="0.25">
      <c r="D200" s="857">
        <v>31</v>
      </c>
      <c r="E200" s="558">
        <f t="shared" si="12"/>
        <v>0</v>
      </c>
      <c r="F200" s="558">
        <f t="shared" si="13"/>
        <v>0</v>
      </c>
      <c r="G200" s="558">
        <f t="shared" si="14"/>
        <v>0</v>
      </c>
      <c r="H200" s="558">
        <f t="shared" si="15"/>
        <v>0</v>
      </c>
      <c r="I200" s="558">
        <f t="shared" si="16"/>
        <v>0</v>
      </c>
      <c r="J200" s="558">
        <f t="shared" si="17"/>
        <v>0</v>
      </c>
      <c r="K200" s="549" t="s">
        <v>521</v>
      </c>
      <c r="P200" s="18" t="s">
        <v>89</v>
      </c>
    </row>
    <row r="201" spans="4:16" s="300" customFormat="1" x14ac:dyDescent="0.25">
      <c r="D201" s="857">
        <v>32</v>
      </c>
      <c r="E201" s="558">
        <f t="shared" si="12"/>
        <v>0</v>
      </c>
      <c r="F201" s="558">
        <f t="shared" si="13"/>
        <v>0</v>
      </c>
      <c r="G201" s="558">
        <f t="shared" si="14"/>
        <v>0</v>
      </c>
      <c r="H201" s="558">
        <f t="shared" si="15"/>
        <v>0</v>
      </c>
      <c r="I201" s="558">
        <f t="shared" si="16"/>
        <v>0</v>
      </c>
      <c r="J201" s="558">
        <f t="shared" si="17"/>
        <v>0</v>
      </c>
      <c r="K201" s="549" t="s">
        <v>521</v>
      </c>
      <c r="P201" s="18" t="s">
        <v>89</v>
      </c>
    </row>
    <row r="202" spans="4:16" s="300" customFormat="1" x14ac:dyDescent="0.25">
      <c r="D202" s="857">
        <v>33</v>
      </c>
      <c r="E202" s="558">
        <f t="shared" si="12"/>
        <v>0</v>
      </c>
      <c r="F202" s="558">
        <f t="shared" si="13"/>
        <v>0</v>
      </c>
      <c r="G202" s="558">
        <f t="shared" si="14"/>
        <v>0</v>
      </c>
      <c r="H202" s="558">
        <f t="shared" si="15"/>
        <v>0</v>
      </c>
      <c r="I202" s="558">
        <f t="shared" si="16"/>
        <v>0</v>
      </c>
      <c r="J202" s="558">
        <f t="shared" si="17"/>
        <v>0</v>
      </c>
      <c r="K202" s="549" t="s">
        <v>521</v>
      </c>
      <c r="P202" s="18" t="s">
        <v>89</v>
      </c>
    </row>
    <row r="203" spans="4:16" s="300" customFormat="1" x14ac:dyDescent="0.25">
      <c r="D203" s="857">
        <v>34</v>
      </c>
      <c r="E203" s="558">
        <f t="shared" si="12"/>
        <v>0</v>
      </c>
      <c r="F203" s="558">
        <f t="shared" si="13"/>
        <v>0</v>
      </c>
      <c r="G203" s="558">
        <f t="shared" si="14"/>
        <v>0</v>
      </c>
      <c r="H203" s="558">
        <f t="shared" si="15"/>
        <v>0</v>
      </c>
      <c r="I203" s="558">
        <f t="shared" si="16"/>
        <v>0</v>
      </c>
      <c r="J203" s="558">
        <f t="shared" si="17"/>
        <v>0</v>
      </c>
      <c r="K203" s="549" t="s">
        <v>521</v>
      </c>
      <c r="P203" s="18" t="s">
        <v>89</v>
      </c>
    </row>
    <row r="204" spans="4:16" s="300" customFormat="1" x14ac:dyDescent="0.25">
      <c r="D204" s="857">
        <v>35</v>
      </c>
      <c r="E204" s="558">
        <f t="shared" si="12"/>
        <v>0</v>
      </c>
      <c r="F204" s="558">
        <f t="shared" si="13"/>
        <v>0</v>
      </c>
      <c r="G204" s="558">
        <f t="shared" si="14"/>
        <v>0</v>
      </c>
      <c r="H204" s="558">
        <f t="shared" si="15"/>
        <v>0</v>
      </c>
      <c r="I204" s="558">
        <f t="shared" si="16"/>
        <v>0</v>
      </c>
      <c r="J204" s="558">
        <f t="shared" si="17"/>
        <v>0</v>
      </c>
      <c r="K204" s="549" t="s">
        <v>521</v>
      </c>
      <c r="P204" s="18" t="s">
        <v>89</v>
      </c>
    </row>
    <row r="205" spans="4:16" s="300" customFormat="1" x14ac:dyDescent="0.25">
      <c r="D205" s="857">
        <v>36</v>
      </c>
      <c r="E205" s="558">
        <f t="shared" si="12"/>
        <v>0</v>
      </c>
      <c r="F205" s="558">
        <f t="shared" si="13"/>
        <v>0</v>
      </c>
      <c r="G205" s="558">
        <f t="shared" si="14"/>
        <v>0</v>
      </c>
      <c r="H205" s="558">
        <f t="shared" si="15"/>
        <v>0</v>
      </c>
      <c r="I205" s="558">
        <f t="shared" si="16"/>
        <v>0</v>
      </c>
      <c r="J205" s="558">
        <f t="shared" si="17"/>
        <v>0</v>
      </c>
      <c r="K205" s="549" t="s">
        <v>521</v>
      </c>
      <c r="P205" s="18" t="s">
        <v>89</v>
      </c>
    </row>
    <row r="206" spans="4:16" s="300" customFormat="1" x14ac:dyDescent="0.25">
      <c r="D206" s="857">
        <v>37</v>
      </c>
      <c r="E206" s="558">
        <f t="shared" si="12"/>
        <v>0</v>
      </c>
      <c r="F206" s="558">
        <f t="shared" si="13"/>
        <v>0</v>
      </c>
      <c r="G206" s="558">
        <f t="shared" si="14"/>
        <v>0</v>
      </c>
      <c r="H206" s="558">
        <f t="shared" si="15"/>
        <v>0</v>
      </c>
      <c r="I206" s="558">
        <f t="shared" si="16"/>
        <v>0</v>
      </c>
      <c r="J206" s="558">
        <f t="shared" si="17"/>
        <v>0</v>
      </c>
      <c r="K206" s="549" t="s">
        <v>521</v>
      </c>
      <c r="P206" s="18" t="s">
        <v>89</v>
      </c>
    </row>
    <row r="207" spans="4:16" s="300" customFormat="1" x14ac:dyDescent="0.25">
      <c r="D207" s="857">
        <v>38</v>
      </c>
      <c r="E207" s="558">
        <f t="shared" si="12"/>
        <v>0</v>
      </c>
      <c r="F207" s="558">
        <f t="shared" si="13"/>
        <v>0</v>
      </c>
      <c r="G207" s="558">
        <f t="shared" si="14"/>
        <v>0</v>
      </c>
      <c r="H207" s="558">
        <f t="shared" si="15"/>
        <v>0</v>
      </c>
      <c r="I207" s="558">
        <f t="shared" si="16"/>
        <v>0</v>
      </c>
      <c r="J207" s="558">
        <f t="shared" si="17"/>
        <v>0</v>
      </c>
      <c r="K207" s="549" t="s">
        <v>521</v>
      </c>
      <c r="P207" s="18" t="s">
        <v>89</v>
      </c>
    </row>
    <row r="208" spans="4:16" s="300" customFormat="1" x14ac:dyDescent="0.25">
      <c r="D208" s="857">
        <v>39</v>
      </c>
      <c r="E208" s="558">
        <f t="shared" si="12"/>
        <v>0</v>
      </c>
      <c r="F208" s="558">
        <f t="shared" si="13"/>
        <v>0</v>
      </c>
      <c r="G208" s="558">
        <f t="shared" si="14"/>
        <v>0</v>
      </c>
      <c r="H208" s="558">
        <f t="shared" si="15"/>
        <v>0</v>
      </c>
      <c r="I208" s="558">
        <f t="shared" si="16"/>
        <v>0</v>
      </c>
      <c r="J208" s="558">
        <f t="shared" si="17"/>
        <v>0</v>
      </c>
      <c r="K208" s="549" t="s">
        <v>521</v>
      </c>
      <c r="P208" s="18" t="s">
        <v>89</v>
      </c>
    </row>
    <row r="209" spans="4:16" s="300" customFormat="1" x14ac:dyDescent="0.25">
      <c r="D209" s="857">
        <v>40</v>
      </c>
      <c r="E209" s="558">
        <f t="shared" si="12"/>
        <v>0</v>
      </c>
      <c r="F209" s="558">
        <f t="shared" si="13"/>
        <v>0</v>
      </c>
      <c r="G209" s="558">
        <f t="shared" si="14"/>
        <v>0</v>
      </c>
      <c r="H209" s="558">
        <f t="shared" si="15"/>
        <v>0</v>
      </c>
      <c r="I209" s="558">
        <f t="shared" si="16"/>
        <v>0</v>
      </c>
      <c r="J209" s="558">
        <f t="shared" si="17"/>
        <v>0</v>
      </c>
      <c r="K209" s="549" t="s">
        <v>521</v>
      </c>
      <c r="P209" s="18" t="s">
        <v>89</v>
      </c>
    </row>
    <row r="210" spans="4:16" s="300" customFormat="1" x14ac:dyDescent="0.25">
      <c r="D210" s="857">
        <v>41</v>
      </c>
      <c r="E210" s="558">
        <f t="shared" si="12"/>
        <v>0</v>
      </c>
      <c r="F210" s="558">
        <f t="shared" si="13"/>
        <v>0</v>
      </c>
      <c r="G210" s="558">
        <f t="shared" si="14"/>
        <v>0</v>
      </c>
      <c r="H210" s="558">
        <f t="shared" si="15"/>
        <v>0</v>
      </c>
      <c r="I210" s="558">
        <f t="shared" si="16"/>
        <v>0</v>
      </c>
      <c r="J210" s="558">
        <f t="shared" si="17"/>
        <v>0</v>
      </c>
      <c r="K210" s="549" t="s">
        <v>521</v>
      </c>
      <c r="P210" s="18" t="s">
        <v>89</v>
      </c>
    </row>
    <row r="211" spans="4:16" s="300" customFormat="1" x14ac:dyDescent="0.25">
      <c r="D211" s="857">
        <v>42</v>
      </c>
      <c r="E211" s="558">
        <f t="shared" si="12"/>
        <v>0</v>
      </c>
      <c r="F211" s="558">
        <f t="shared" si="13"/>
        <v>0</v>
      </c>
      <c r="G211" s="558">
        <f t="shared" si="14"/>
        <v>0</v>
      </c>
      <c r="H211" s="558">
        <f t="shared" si="15"/>
        <v>0</v>
      </c>
      <c r="I211" s="558">
        <f t="shared" si="16"/>
        <v>0</v>
      </c>
      <c r="J211" s="558">
        <f t="shared" si="17"/>
        <v>0</v>
      </c>
      <c r="K211" s="549" t="s">
        <v>521</v>
      </c>
      <c r="P211" s="18" t="s">
        <v>89</v>
      </c>
    </row>
    <row r="212" spans="4:16" s="300" customFormat="1" x14ac:dyDescent="0.25">
      <c r="D212" s="857">
        <v>43</v>
      </c>
      <c r="E212" s="558">
        <f t="shared" si="12"/>
        <v>0</v>
      </c>
      <c r="F212" s="558">
        <f t="shared" si="13"/>
        <v>0</v>
      </c>
      <c r="G212" s="558">
        <f t="shared" si="14"/>
        <v>0</v>
      </c>
      <c r="H212" s="558">
        <f t="shared" si="15"/>
        <v>0</v>
      </c>
      <c r="I212" s="558">
        <f t="shared" si="16"/>
        <v>0</v>
      </c>
      <c r="J212" s="558">
        <f t="shared" si="17"/>
        <v>0</v>
      </c>
      <c r="K212" s="549" t="s">
        <v>521</v>
      </c>
      <c r="P212" s="18" t="s">
        <v>89</v>
      </c>
    </row>
    <row r="213" spans="4:16" s="300" customFormat="1" x14ac:dyDescent="0.25">
      <c r="D213" s="857">
        <v>44</v>
      </c>
      <c r="E213" s="558">
        <f t="shared" si="12"/>
        <v>0</v>
      </c>
      <c r="F213" s="558">
        <f t="shared" si="13"/>
        <v>0</v>
      </c>
      <c r="G213" s="558">
        <f t="shared" si="14"/>
        <v>0</v>
      </c>
      <c r="H213" s="558">
        <f t="shared" si="15"/>
        <v>0</v>
      </c>
      <c r="I213" s="558">
        <f t="shared" si="16"/>
        <v>0</v>
      </c>
      <c r="J213" s="558">
        <f t="shared" si="17"/>
        <v>0</v>
      </c>
      <c r="K213" s="549" t="s">
        <v>521</v>
      </c>
      <c r="P213" s="18" t="s">
        <v>89</v>
      </c>
    </row>
    <row r="214" spans="4:16" s="300" customFormat="1" x14ac:dyDescent="0.25">
      <c r="D214" s="857">
        <v>45</v>
      </c>
      <c r="E214" s="558">
        <f t="shared" si="12"/>
        <v>0</v>
      </c>
      <c r="F214" s="558">
        <f t="shared" si="13"/>
        <v>0</v>
      </c>
      <c r="G214" s="558">
        <f t="shared" si="14"/>
        <v>0</v>
      </c>
      <c r="H214" s="558">
        <f t="shared" si="15"/>
        <v>0</v>
      </c>
      <c r="I214" s="558">
        <f t="shared" si="16"/>
        <v>0</v>
      </c>
      <c r="J214" s="558">
        <f t="shared" si="17"/>
        <v>0</v>
      </c>
      <c r="K214" s="549" t="s">
        <v>521</v>
      </c>
      <c r="P214" s="18" t="s">
        <v>89</v>
      </c>
    </row>
    <row r="215" spans="4:16" s="300" customFormat="1" x14ac:dyDescent="0.25">
      <c r="D215" s="857">
        <v>46</v>
      </c>
      <c r="E215" s="558">
        <f t="shared" si="12"/>
        <v>0</v>
      </c>
      <c r="F215" s="558">
        <f t="shared" si="13"/>
        <v>0</v>
      </c>
      <c r="G215" s="558">
        <f t="shared" si="14"/>
        <v>0</v>
      </c>
      <c r="H215" s="558">
        <f t="shared" si="15"/>
        <v>0</v>
      </c>
      <c r="I215" s="558">
        <f t="shared" si="16"/>
        <v>0</v>
      </c>
      <c r="J215" s="558">
        <f t="shared" si="17"/>
        <v>0</v>
      </c>
      <c r="K215" s="549" t="s">
        <v>521</v>
      </c>
      <c r="P215" s="18" t="s">
        <v>89</v>
      </c>
    </row>
    <row r="216" spans="4:16" s="300" customFormat="1" x14ac:dyDescent="0.25">
      <c r="D216" s="857">
        <v>47</v>
      </c>
      <c r="E216" s="558">
        <f t="shared" si="12"/>
        <v>0</v>
      </c>
      <c r="F216" s="558">
        <f t="shared" si="13"/>
        <v>0</v>
      </c>
      <c r="G216" s="558">
        <f t="shared" si="14"/>
        <v>0</v>
      </c>
      <c r="H216" s="558">
        <f t="shared" si="15"/>
        <v>0</v>
      </c>
      <c r="I216" s="558">
        <f t="shared" si="16"/>
        <v>0</v>
      </c>
      <c r="J216" s="558">
        <f t="shared" si="17"/>
        <v>0</v>
      </c>
      <c r="K216" s="549" t="s">
        <v>521</v>
      </c>
      <c r="P216" s="18" t="s">
        <v>89</v>
      </c>
    </row>
    <row r="217" spans="4:16" s="300" customFormat="1" x14ac:dyDescent="0.25">
      <c r="D217" s="857">
        <v>48</v>
      </c>
      <c r="E217" s="558">
        <f t="shared" si="12"/>
        <v>0</v>
      </c>
      <c r="F217" s="558">
        <f t="shared" si="13"/>
        <v>0</v>
      </c>
      <c r="G217" s="558">
        <f t="shared" si="14"/>
        <v>0</v>
      </c>
      <c r="H217" s="558">
        <f t="shared" si="15"/>
        <v>0</v>
      </c>
      <c r="I217" s="558">
        <f t="shared" si="16"/>
        <v>0</v>
      </c>
      <c r="J217" s="558">
        <f t="shared" si="17"/>
        <v>0</v>
      </c>
      <c r="K217" s="549" t="s">
        <v>521</v>
      </c>
      <c r="P217" s="18" t="s">
        <v>89</v>
      </c>
    </row>
    <row r="218" spans="4:16" s="300" customFormat="1" x14ac:dyDescent="0.25">
      <c r="D218" s="857">
        <v>49</v>
      </c>
      <c r="E218" s="558">
        <f t="shared" si="12"/>
        <v>0</v>
      </c>
      <c r="F218" s="558">
        <f t="shared" si="13"/>
        <v>0</v>
      </c>
      <c r="G218" s="558">
        <f t="shared" si="14"/>
        <v>0</v>
      </c>
      <c r="H218" s="558">
        <f t="shared" si="15"/>
        <v>0</v>
      </c>
      <c r="I218" s="558">
        <f t="shared" si="16"/>
        <v>0</v>
      </c>
      <c r="J218" s="558">
        <f t="shared" si="17"/>
        <v>0</v>
      </c>
      <c r="K218" s="549" t="s">
        <v>521</v>
      </c>
      <c r="P218" s="18" t="s">
        <v>89</v>
      </c>
    </row>
    <row r="219" spans="4:16" s="300" customFormat="1" x14ac:dyDescent="0.25">
      <c r="D219" s="857">
        <v>50</v>
      </c>
      <c r="E219" s="558">
        <f t="shared" si="12"/>
        <v>0</v>
      </c>
      <c r="F219" s="558">
        <f t="shared" si="13"/>
        <v>0</v>
      </c>
      <c r="G219" s="558">
        <f t="shared" si="14"/>
        <v>0</v>
      </c>
      <c r="H219" s="558">
        <f t="shared" si="15"/>
        <v>0</v>
      </c>
      <c r="I219" s="558">
        <f t="shared" si="16"/>
        <v>0</v>
      </c>
      <c r="J219" s="558">
        <f t="shared" si="17"/>
        <v>0</v>
      </c>
      <c r="K219" s="549" t="s">
        <v>521</v>
      </c>
      <c r="P219" s="18" t="s">
        <v>89</v>
      </c>
    </row>
    <row r="220" spans="4:16" s="300" customFormat="1" x14ac:dyDescent="0.25">
      <c r="D220" s="857">
        <v>51</v>
      </c>
      <c r="E220" s="558">
        <f t="shared" si="12"/>
        <v>0</v>
      </c>
      <c r="F220" s="558">
        <f t="shared" si="13"/>
        <v>0</v>
      </c>
      <c r="G220" s="558">
        <f t="shared" si="14"/>
        <v>0</v>
      </c>
      <c r="H220" s="558">
        <f t="shared" si="15"/>
        <v>0</v>
      </c>
      <c r="I220" s="558">
        <f t="shared" si="16"/>
        <v>0</v>
      </c>
      <c r="J220" s="558">
        <f t="shared" si="17"/>
        <v>0</v>
      </c>
      <c r="K220" s="549" t="s">
        <v>521</v>
      </c>
      <c r="P220" s="18" t="s">
        <v>89</v>
      </c>
    </row>
    <row r="221" spans="4:16" s="300" customFormat="1" x14ac:dyDescent="0.25">
      <c r="D221" s="857">
        <v>52</v>
      </c>
      <c r="E221" s="558">
        <f t="shared" si="12"/>
        <v>0</v>
      </c>
      <c r="F221" s="558">
        <f t="shared" si="13"/>
        <v>0</v>
      </c>
      <c r="G221" s="558">
        <f t="shared" si="14"/>
        <v>0</v>
      </c>
      <c r="H221" s="558">
        <f t="shared" si="15"/>
        <v>0</v>
      </c>
      <c r="I221" s="558">
        <f t="shared" si="16"/>
        <v>0</v>
      </c>
      <c r="J221" s="558">
        <f t="shared" si="17"/>
        <v>0</v>
      </c>
      <c r="K221" s="549" t="s">
        <v>521</v>
      </c>
      <c r="P221" s="18" t="s">
        <v>89</v>
      </c>
    </row>
    <row r="222" spans="4:16" s="300" customFormat="1" x14ac:dyDescent="0.25">
      <c r="D222" s="857">
        <v>53</v>
      </c>
      <c r="E222" s="558">
        <f t="shared" si="12"/>
        <v>0</v>
      </c>
      <c r="F222" s="558">
        <f t="shared" si="13"/>
        <v>0</v>
      </c>
      <c r="G222" s="558">
        <f t="shared" si="14"/>
        <v>0</v>
      </c>
      <c r="H222" s="558">
        <f t="shared" si="15"/>
        <v>0</v>
      </c>
      <c r="I222" s="558">
        <f t="shared" si="16"/>
        <v>0</v>
      </c>
      <c r="J222" s="558">
        <f t="shared" si="17"/>
        <v>0</v>
      </c>
      <c r="K222" s="549" t="s">
        <v>521</v>
      </c>
      <c r="P222" s="18" t="s">
        <v>89</v>
      </c>
    </row>
    <row r="223" spans="4:16" s="300" customFormat="1" x14ac:dyDescent="0.25">
      <c r="D223" s="857">
        <v>54</v>
      </c>
      <c r="E223" s="558">
        <f t="shared" si="12"/>
        <v>0</v>
      </c>
      <c r="F223" s="558">
        <f t="shared" si="13"/>
        <v>0</v>
      </c>
      <c r="G223" s="558">
        <f t="shared" si="14"/>
        <v>0</v>
      </c>
      <c r="H223" s="558">
        <f t="shared" si="15"/>
        <v>0</v>
      </c>
      <c r="I223" s="558">
        <f t="shared" si="16"/>
        <v>0</v>
      </c>
      <c r="J223" s="558">
        <f t="shared" si="17"/>
        <v>0</v>
      </c>
      <c r="K223" s="549" t="s">
        <v>521</v>
      </c>
      <c r="P223" s="18" t="s">
        <v>89</v>
      </c>
    </row>
    <row r="224" spans="4:16" s="300" customFormat="1" x14ac:dyDescent="0.25">
      <c r="D224" s="857">
        <v>55</v>
      </c>
      <c r="E224" s="558">
        <f t="shared" si="12"/>
        <v>0</v>
      </c>
      <c r="F224" s="558">
        <f t="shared" si="13"/>
        <v>0</v>
      </c>
      <c r="G224" s="558">
        <f t="shared" si="14"/>
        <v>0</v>
      </c>
      <c r="H224" s="558">
        <f t="shared" si="15"/>
        <v>0</v>
      </c>
      <c r="I224" s="558">
        <f t="shared" si="16"/>
        <v>0</v>
      </c>
      <c r="J224" s="558">
        <f t="shared" si="17"/>
        <v>0</v>
      </c>
      <c r="K224" s="549" t="s">
        <v>521</v>
      </c>
      <c r="P224" s="18" t="s">
        <v>89</v>
      </c>
    </row>
    <row r="225" spans="4:16" s="300" customFormat="1" x14ac:dyDescent="0.25">
      <c r="D225" s="857">
        <v>56</v>
      </c>
      <c r="E225" s="558">
        <f t="shared" si="12"/>
        <v>0</v>
      </c>
      <c r="F225" s="558">
        <f t="shared" si="13"/>
        <v>0</v>
      </c>
      <c r="G225" s="558">
        <f t="shared" si="14"/>
        <v>0</v>
      </c>
      <c r="H225" s="558">
        <f t="shared" si="15"/>
        <v>0</v>
      </c>
      <c r="I225" s="558">
        <f t="shared" si="16"/>
        <v>0</v>
      </c>
      <c r="J225" s="558">
        <f t="shared" si="17"/>
        <v>0</v>
      </c>
      <c r="K225" s="549" t="s">
        <v>521</v>
      </c>
      <c r="P225" s="18" t="s">
        <v>89</v>
      </c>
    </row>
    <row r="226" spans="4:16" s="300" customFormat="1" x14ac:dyDescent="0.25">
      <c r="D226" s="857">
        <v>57</v>
      </c>
      <c r="E226" s="558">
        <f t="shared" si="12"/>
        <v>0</v>
      </c>
      <c r="F226" s="558">
        <f t="shared" si="13"/>
        <v>0</v>
      </c>
      <c r="G226" s="558">
        <f t="shared" si="14"/>
        <v>0</v>
      </c>
      <c r="H226" s="558">
        <f t="shared" si="15"/>
        <v>0</v>
      </c>
      <c r="I226" s="558">
        <f t="shared" si="16"/>
        <v>0</v>
      </c>
      <c r="J226" s="558">
        <f t="shared" si="17"/>
        <v>0</v>
      </c>
      <c r="K226" s="549" t="s">
        <v>521</v>
      </c>
      <c r="P226" s="18" t="s">
        <v>89</v>
      </c>
    </row>
    <row r="227" spans="4:16" s="300" customFormat="1" x14ac:dyDescent="0.25">
      <c r="D227" s="857">
        <v>58</v>
      </c>
      <c r="E227" s="558">
        <f t="shared" si="12"/>
        <v>0</v>
      </c>
      <c r="F227" s="558">
        <f t="shared" si="13"/>
        <v>0</v>
      </c>
      <c r="G227" s="558">
        <f t="shared" si="14"/>
        <v>0</v>
      </c>
      <c r="H227" s="558">
        <f t="shared" si="15"/>
        <v>0</v>
      </c>
      <c r="I227" s="558">
        <f t="shared" si="16"/>
        <v>0</v>
      </c>
      <c r="J227" s="558">
        <f t="shared" si="17"/>
        <v>0</v>
      </c>
      <c r="K227" s="549" t="s">
        <v>521</v>
      </c>
      <c r="P227" s="18" t="s">
        <v>89</v>
      </c>
    </row>
    <row r="228" spans="4:16" s="300" customFormat="1" x14ac:dyDescent="0.25">
      <c r="D228" s="857">
        <v>59</v>
      </c>
      <c r="E228" s="558">
        <f t="shared" si="12"/>
        <v>0</v>
      </c>
      <c r="F228" s="558">
        <f t="shared" si="13"/>
        <v>0</v>
      </c>
      <c r="G228" s="558">
        <f t="shared" si="14"/>
        <v>0</v>
      </c>
      <c r="H228" s="558">
        <f t="shared" si="15"/>
        <v>0</v>
      </c>
      <c r="I228" s="558">
        <f t="shared" si="16"/>
        <v>0</v>
      </c>
      <c r="J228" s="558">
        <f t="shared" si="17"/>
        <v>0</v>
      </c>
      <c r="K228" s="549" t="s">
        <v>521</v>
      </c>
      <c r="P228" s="18" t="s">
        <v>89</v>
      </c>
    </row>
    <row r="229" spans="4:16" s="300" customFormat="1" x14ac:dyDescent="0.25">
      <c r="D229" s="857">
        <v>60</v>
      </c>
      <c r="E229" s="558">
        <f t="shared" si="12"/>
        <v>0</v>
      </c>
      <c r="F229" s="558">
        <f t="shared" si="13"/>
        <v>0</v>
      </c>
      <c r="G229" s="558">
        <f t="shared" si="14"/>
        <v>0</v>
      </c>
      <c r="H229" s="558">
        <f t="shared" si="15"/>
        <v>0</v>
      </c>
      <c r="I229" s="558">
        <f t="shared" si="16"/>
        <v>0</v>
      </c>
      <c r="J229" s="558">
        <f t="shared" si="17"/>
        <v>0</v>
      </c>
      <c r="K229" s="549" t="s">
        <v>521</v>
      </c>
      <c r="P229" s="18" t="s">
        <v>89</v>
      </c>
    </row>
    <row r="230" spans="4:16" s="300" customFormat="1" x14ac:dyDescent="0.25">
      <c r="D230" s="857">
        <v>61</v>
      </c>
      <c r="E230" s="558">
        <f t="shared" si="12"/>
        <v>0</v>
      </c>
      <c r="F230" s="558">
        <f t="shared" si="13"/>
        <v>0</v>
      </c>
      <c r="G230" s="558">
        <f t="shared" si="14"/>
        <v>0</v>
      </c>
      <c r="H230" s="558">
        <f t="shared" si="15"/>
        <v>0</v>
      </c>
      <c r="I230" s="558">
        <f t="shared" si="16"/>
        <v>0</v>
      </c>
      <c r="J230" s="558">
        <f t="shared" si="17"/>
        <v>0</v>
      </c>
      <c r="K230" s="549" t="s">
        <v>521</v>
      </c>
      <c r="P230" s="18" t="s">
        <v>89</v>
      </c>
    </row>
    <row r="231" spans="4:16" s="300" customFormat="1" x14ac:dyDescent="0.25">
      <c r="D231" s="857">
        <v>62</v>
      </c>
      <c r="E231" s="558">
        <f t="shared" si="12"/>
        <v>0</v>
      </c>
      <c r="F231" s="558">
        <f t="shared" si="13"/>
        <v>0</v>
      </c>
      <c r="G231" s="558">
        <f t="shared" si="14"/>
        <v>0</v>
      </c>
      <c r="H231" s="558">
        <f t="shared" si="15"/>
        <v>0</v>
      </c>
      <c r="I231" s="558">
        <f t="shared" si="16"/>
        <v>0</v>
      </c>
      <c r="J231" s="558">
        <f t="shared" si="17"/>
        <v>0</v>
      </c>
      <c r="K231" s="549" t="s">
        <v>521</v>
      </c>
      <c r="P231" s="18" t="s">
        <v>89</v>
      </c>
    </row>
    <row r="232" spans="4:16" s="300" customFormat="1" x14ac:dyDescent="0.25">
      <c r="D232" s="857">
        <v>63</v>
      </c>
      <c r="E232" s="558">
        <f t="shared" si="12"/>
        <v>0</v>
      </c>
      <c r="F232" s="558">
        <f t="shared" si="13"/>
        <v>0</v>
      </c>
      <c r="G232" s="558">
        <f t="shared" si="14"/>
        <v>0</v>
      </c>
      <c r="H232" s="558">
        <f t="shared" si="15"/>
        <v>0</v>
      </c>
      <c r="I232" s="558">
        <f t="shared" si="16"/>
        <v>0</v>
      </c>
      <c r="J232" s="558">
        <f t="shared" si="17"/>
        <v>0</v>
      </c>
      <c r="K232" s="549" t="s">
        <v>521</v>
      </c>
      <c r="P232" s="18" t="s">
        <v>89</v>
      </c>
    </row>
    <row r="233" spans="4:16" s="300" customFormat="1" x14ac:dyDescent="0.25">
      <c r="D233" s="857">
        <v>64</v>
      </c>
      <c r="E233" s="558">
        <f t="shared" si="12"/>
        <v>0</v>
      </c>
      <c r="F233" s="558">
        <f t="shared" si="13"/>
        <v>0</v>
      </c>
      <c r="G233" s="558">
        <f t="shared" si="14"/>
        <v>0</v>
      </c>
      <c r="H233" s="558">
        <f t="shared" si="15"/>
        <v>0</v>
      </c>
      <c r="I233" s="558">
        <f t="shared" si="16"/>
        <v>0</v>
      </c>
      <c r="J233" s="558">
        <f t="shared" si="17"/>
        <v>0</v>
      </c>
      <c r="K233" s="549" t="s">
        <v>521</v>
      </c>
      <c r="P233" s="18" t="s">
        <v>89</v>
      </c>
    </row>
    <row r="234" spans="4:16" s="300" customFormat="1" x14ac:dyDescent="0.25">
      <c r="D234" s="857">
        <v>65</v>
      </c>
      <c r="E234" s="558">
        <f t="shared" ref="E234:E259" si="18">SUM(F234:K234)</f>
        <v>0</v>
      </c>
      <c r="F234" s="558">
        <f t="shared" si="13"/>
        <v>0</v>
      </c>
      <c r="G234" s="558">
        <f t="shared" si="14"/>
        <v>0</v>
      </c>
      <c r="H234" s="558">
        <f t="shared" si="15"/>
        <v>0</v>
      </c>
      <c r="I234" s="558">
        <f t="shared" si="16"/>
        <v>0</v>
      </c>
      <c r="J234" s="558">
        <f t="shared" si="17"/>
        <v>0</v>
      </c>
      <c r="K234" s="549" t="s">
        <v>521</v>
      </c>
      <c r="P234" s="18" t="s">
        <v>89</v>
      </c>
    </row>
    <row r="235" spans="4:16" s="300" customFormat="1" x14ac:dyDescent="0.25">
      <c r="D235" s="857">
        <v>66</v>
      </c>
      <c r="E235" s="558">
        <f t="shared" si="18"/>
        <v>0</v>
      </c>
      <c r="F235" s="558">
        <f t="shared" ref="F235:F259" si="19">SUM(E331:N331)</f>
        <v>0</v>
      </c>
      <c r="G235" s="558">
        <f t="shared" ref="G235:G259" si="20">SUM(E426:I426)</f>
        <v>0</v>
      </c>
      <c r="H235" s="558">
        <f t="shared" ref="H235:H259" si="21">SUM(J426:N426)</f>
        <v>0</v>
      </c>
      <c r="I235" s="558">
        <f t="shared" ref="I235:I259" si="22">SUM(E521:I521)</f>
        <v>0</v>
      </c>
      <c r="J235" s="558">
        <f t="shared" ref="J235:J259" si="23">SUM(J521:N521)</f>
        <v>0</v>
      </c>
      <c r="K235" s="549" t="s">
        <v>521</v>
      </c>
      <c r="P235" s="18" t="s">
        <v>89</v>
      </c>
    </row>
    <row r="236" spans="4:16" s="300" customFormat="1" x14ac:dyDescent="0.25">
      <c r="D236" s="857">
        <v>67</v>
      </c>
      <c r="E236" s="558">
        <f t="shared" si="18"/>
        <v>0</v>
      </c>
      <c r="F236" s="558">
        <f t="shared" si="19"/>
        <v>0</v>
      </c>
      <c r="G236" s="558">
        <f t="shared" si="20"/>
        <v>0</v>
      </c>
      <c r="H236" s="558">
        <f t="shared" si="21"/>
        <v>0</v>
      </c>
      <c r="I236" s="558">
        <f t="shared" si="22"/>
        <v>0</v>
      </c>
      <c r="J236" s="558">
        <f t="shared" si="23"/>
        <v>0</v>
      </c>
      <c r="K236" s="549" t="s">
        <v>521</v>
      </c>
      <c r="P236" s="18" t="s">
        <v>89</v>
      </c>
    </row>
    <row r="237" spans="4:16" s="300" customFormat="1" x14ac:dyDescent="0.25">
      <c r="D237" s="857">
        <v>68</v>
      </c>
      <c r="E237" s="558">
        <f t="shared" si="18"/>
        <v>0</v>
      </c>
      <c r="F237" s="558">
        <f t="shared" si="19"/>
        <v>0</v>
      </c>
      <c r="G237" s="558">
        <f t="shared" si="20"/>
        <v>0</v>
      </c>
      <c r="H237" s="558">
        <f t="shared" si="21"/>
        <v>0</v>
      </c>
      <c r="I237" s="558">
        <f t="shared" si="22"/>
        <v>0</v>
      </c>
      <c r="J237" s="558">
        <f t="shared" si="23"/>
        <v>0</v>
      </c>
      <c r="K237" s="549" t="s">
        <v>521</v>
      </c>
      <c r="P237" s="18" t="s">
        <v>89</v>
      </c>
    </row>
    <row r="238" spans="4:16" s="300" customFormat="1" x14ac:dyDescent="0.25">
      <c r="D238" s="857">
        <v>69</v>
      </c>
      <c r="E238" s="558">
        <f t="shared" si="18"/>
        <v>0</v>
      </c>
      <c r="F238" s="558">
        <f t="shared" si="19"/>
        <v>0</v>
      </c>
      <c r="G238" s="558">
        <f t="shared" si="20"/>
        <v>0</v>
      </c>
      <c r="H238" s="558">
        <f t="shared" si="21"/>
        <v>0</v>
      </c>
      <c r="I238" s="558">
        <f t="shared" si="22"/>
        <v>0</v>
      </c>
      <c r="J238" s="558">
        <f t="shared" si="23"/>
        <v>0</v>
      </c>
      <c r="K238" s="549" t="s">
        <v>521</v>
      </c>
      <c r="P238" s="18" t="s">
        <v>89</v>
      </c>
    </row>
    <row r="239" spans="4:16" s="300" customFormat="1" x14ac:dyDescent="0.25">
      <c r="D239" s="857">
        <v>70</v>
      </c>
      <c r="E239" s="558">
        <f t="shared" si="18"/>
        <v>0</v>
      </c>
      <c r="F239" s="558">
        <f t="shared" si="19"/>
        <v>0</v>
      </c>
      <c r="G239" s="558">
        <f t="shared" si="20"/>
        <v>0</v>
      </c>
      <c r="H239" s="558">
        <f t="shared" si="21"/>
        <v>0</v>
      </c>
      <c r="I239" s="558">
        <f t="shared" si="22"/>
        <v>0</v>
      </c>
      <c r="J239" s="558">
        <f t="shared" si="23"/>
        <v>0</v>
      </c>
      <c r="K239" s="549" t="s">
        <v>521</v>
      </c>
      <c r="P239" s="18" t="s">
        <v>89</v>
      </c>
    </row>
    <row r="240" spans="4:16" s="300" customFormat="1" x14ac:dyDescent="0.25">
      <c r="D240" s="857">
        <v>71</v>
      </c>
      <c r="E240" s="558">
        <f t="shared" si="18"/>
        <v>0</v>
      </c>
      <c r="F240" s="558">
        <f t="shared" si="19"/>
        <v>0</v>
      </c>
      <c r="G240" s="558">
        <f t="shared" si="20"/>
        <v>0</v>
      </c>
      <c r="H240" s="558">
        <f t="shared" si="21"/>
        <v>0</v>
      </c>
      <c r="I240" s="558">
        <f t="shared" si="22"/>
        <v>0</v>
      </c>
      <c r="J240" s="558">
        <f t="shared" si="23"/>
        <v>0</v>
      </c>
      <c r="K240" s="549" t="s">
        <v>521</v>
      </c>
      <c r="P240" s="18" t="s">
        <v>89</v>
      </c>
    </row>
    <row r="241" spans="4:16" s="300" customFormat="1" x14ac:dyDescent="0.25">
      <c r="D241" s="857">
        <v>72</v>
      </c>
      <c r="E241" s="558">
        <f t="shared" si="18"/>
        <v>0</v>
      </c>
      <c r="F241" s="558">
        <f t="shared" si="19"/>
        <v>0</v>
      </c>
      <c r="G241" s="558">
        <f t="shared" si="20"/>
        <v>0</v>
      </c>
      <c r="H241" s="558">
        <f t="shared" si="21"/>
        <v>0</v>
      </c>
      <c r="I241" s="558">
        <f t="shared" si="22"/>
        <v>0</v>
      </c>
      <c r="J241" s="558">
        <f t="shared" si="23"/>
        <v>0</v>
      </c>
      <c r="K241" s="549" t="s">
        <v>521</v>
      </c>
      <c r="P241" s="18" t="s">
        <v>89</v>
      </c>
    </row>
    <row r="242" spans="4:16" s="300" customFormat="1" x14ac:dyDescent="0.25">
      <c r="D242" s="857">
        <v>73</v>
      </c>
      <c r="E242" s="558">
        <f t="shared" si="18"/>
        <v>0</v>
      </c>
      <c r="F242" s="558">
        <f t="shared" si="19"/>
        <v>0</v>
      </c>
      <c r="G242" s="558">
        <f t="shared" si="20"/>
        <v>0</v>
      </c>
      <c r="H242" s="558">
        <f t="shared" si="21"/>
        <v>0</v>
      </c>
      <c r="I242" s="558">
        <f t="shared" si="22"/>
        <v>0</v>
      </c>
      <c r="J242" s="558">
        <f t="shared" si="23"/>
        <v>0</v>
      </c>
      <c r="K242" s="549" t="s">
        <v>521</v>
      </c>
      <c r="P242" s="18" t="s">
        <v>89</v>
      </c>
    </row>
    <row r="243" spans="4:16" s="300" customFormat="1" x14ac:dyDescent="0.25">
      <c r="D243" s="857">
        <v>74</v>
      </c>
      <c r="E243" s="558">
        <f t="shared" si="18"/>
        <v>0</v>
      </c>
      <c r="F243" s="558">
        <f t="shared" si="19"/>
        <v>0</v>
      </c>
      <c r="G243" s="558">
        <f t="shared" si="20"/>
        <v>0</v>
      </c>
      <c r="H243" s="558">
        <f t="shared" si="21"/>
        <v>0</v>
      </c>
      <c r="I243" s="558">
        <f t="shared" si="22"/>
        <v>0</v>
      </c>
      <c r="J243" s="558">
        <f t="shared" si="23"/>
        <v>0</v>
      </c>
      <c r="K243" s="549" t="s">
        <v>521</v>
      </c>
      <c r="P243" s="18" t="s">
        <v>89</v>
      </c>
    </row>
    <row r="244" spans="4:16" s="300" customFormat="1" x14ac:dyDescent="0.25">
      <c r="D244" s="857">
        <v>75</v>
      </c>
      <c r="E244" s="558">
        <f t="shared" si="18"/>
        <v>0</v>
      </c>
      <c r="F244" s="558">
        <f t="shared" si="19"/>
        <v>0</v>
      </c>
      <c r="G244" s="558">
        <f t="shared" si="20"/>
        <v>0</v>
      </c>
      <c r="H244" s="558">
        <f t="shared" si="21"/>
        <v>0</v>
      </c>
      <c r="I244" s="558">
        <f t="shared" si="22"/>
        <v>0</v>
      </c>
      <c r="J244" s="558">
        <f t="shared" si="23"/>
        <v>0</v>
      </c>
      <c r="K244" s="549" t="s">
        <v>521</v>
      </c>
      <c r="P244" s="18" t="s">
        <v>89</v>
      </c>
    </row>
    <row r="245" spans="4:16" s="300" customFormat="1" x14ac:dyDescent="0.25">
      <c r="D245" s="857">
        <v>76</v>
      </c>
      <c r="E245" s="558">
        <f t="shared" si="18"/>
        <v>0</v>
      </c>
      <c r="F245" s="558">
        <f t="shared" si="19"/>
        <v>0</v>
      </c>
      <c r="G245" s="558">
        <f t="shared" si="20"/>
        <v>0</v>
      </c>
      <c r="H245" s="558">
        <f t="shared" si="21"/>
        <v>0</v>
      </c>
      <c r="I245" s="558">
        <f t="shared" si="22"/>
        <v>0</v>
      </c>
      <c r="J245" s="558">
        <f t="shared" si="23"/>
        <v>0</v>
      </c>
      <c r="K245" s="549" t="s">
        <v>521</v>
      </c>
      <c r="P245" s="18" t="s">
        <v>89</v>
      </c>
    </row>
    <row r="246" spans="4:16" s="300" customFormat="1" x14ac:dyDescent="0.25">
      <c r="D246" s="857">
        <v>77</v>
      </c>
      <c r="E246" s="558">
        <f t="shared" si="18"/>
        <v>0</v>
      </c>
      <c r="F246" s="558">
        <f t="shared" si="19"/>
        <v>0</v>
      </c>
      <c r="G246" s="558">
        <f t="shared" si="20"/>
        <v>0</v>
      </c>
      <c r="H246" s="558">
        <f t="shared" si="21"/>
        <v>0</v>
      </c>
      <c r="I246" s="558">
        <f t="shared" si="22"/>
        <v>0</v>
      </c>
      <c r="J246" s="558">
        <f t="shared" si="23"/>
        <v>0</v>
      </c>
      <c r="K246" s="549" t="s">
        <v>521</v>
      </c>
      <c r="P246" s="18" t="s">
        <v>89</v>
      </c>
    </row>
    <row r="247" spans="4:16" s="300" customFormat="1" x14ac:dyDescent="0.25">
      <c r="D247" s="857">
        <v>78</v>
      </c>
      <c r="E247" s="558">
        <f t="shared" si="18"/>
        <v>0</v>
      </c>
      <c r="F247" s="558">
        <f t="shared" si="19"/>
        <v>0</v>
      </c>
      <c r="G247" s="558">
        <f t="shared" si="20"/>
        <v>0</v>
      </c>
      <c r="H247" s="558">
        <f t="shared" si="21"/>
        <v>0</v>
      </c>
      <c r="I247" s="558">
        <f t="shared" si="22"/>
        <v>0</v>
      </c>
      <c r="J247" s="558">
        <f t="shared" si="23"/>
        <v>0</v>
      </c>
      <c r="K247" s="549" t="s">
        <v>521</v>
      </c>
      <c r="P247" s="18" t="s">
        <v>89</v>
      </c>
    </row>
    <row r="248" spans="4:16" s="300" customFormat="1" x14ac:dyDescent="0.25">
      <c r="D248" s="857">
        <v>79</v>
      </c>
      <c r="E248" s="558">
        <f t="shared" si="18"/>
        <v>0</v>
      </c>
      <c r="F248" s="558">
        <f t="shared" si="19"/>
        <v>0</v>
      </c>
      <c r="G248" s="558">
        <f t="shared" si="20"/>
        <v>0</v>
      </c>
      <c r="H248" s="558">
        <f t="shared" si="21"/>
        <v>0</v>
      </c>
      <c r="I248" s="558">
        <f t="shared" si="22"/>
        <v>0</v>
      </c>
      <c r="J248" s="558">
        <f t="shared" si="23"/>
        <v>0</v>
      </c>
      <c r="K248" s="549" t="s">
        <v>521</v>
      </c>
      <c r="P248" s="18" t="s">
        <v>89</v>
      </c>
    </row>
    <row r="249" spans="4:16" s="300" customFormat="1" x14ac:dyDescent="0.25">
      <c r="D249" s="857">
        <v>80</v>
      </c>
      <c r="E249" s="558">
        <f t="shared" si="18"/>
        <v>0</v>
      </c>
      <c r="F249" s="558">
        <f t="shared" si="19"/>
        <v>0</v>
      </c>
      <c r="G249" s="558">
        <f t="shared" si="20"/>
        <v>0</v>
      </c>
      <c r="H249" s="558">
        <f t="shared" si="21"/>
        <v>0</v>
      </c>
      <c r="I249" s="558">
        <f t="shared" si="22"/>
        <v>0</v>
      </c>
      <c r="J249" s="558">
        <f t="shared" si="23"/>
        <v>0</v>
      </c>
      <c r="K249" s="549" t="s">
        <v>521</v>
      </c>
      <c r="P249" s="18" t="s">
        <v>89</v>
      </c>
    </row>
    <row r="250" spans="4:16" s="300" customFormat="1" x14ac:dyDescent="0.25">
      <c r="D250" s="857">
        <v>81</v>
      </c>
      <c r="E250" s="558">
        <f t="shared" si="18"/>
        <v>0</v>
      </c>
      <c r="F250" s="558">
        <f t="shared" si="19"/>
        <v>0</v>
      </c>
      <c r="G250" s="558">
        <f t="shared" si="20"/>
        <v>0</v>
      </c>
      <c r="H250" s="558">
        <f t="shared" si="21"/>
        <v>0</v>
      </c>
      <c r="I250" s="558">
        <f t="shared" si="22"/>
        <v>0</v>
      </c>
      <c r="J250" s="558">
        <f t="shared" si="23"/>
        <v>0</v>
      </c>
      <c r="K250" s="549" t="s">
        <v>521</v>
      </c>
      <c r="P250" s="18" t="s">
        <v>89</v>
      </c>
    </row>
    <row r="251" spans="4:16" s="300" customFormat="1" x14ac:dyDescent="0.25">
      <c r="D251" s="857">
        <v>82</v>
      </c>
      <c r="E251" s="558">
        <f t="shared" si="18"/>
        <v>0</v>
      </c>
      <c r="F251" s="558">
        <f t="shared" si="19"/>
        <v>0</v>
      </c>
      <c r="G251" s="558">
        <f t="shared" si="20"/>
        <v>0</v>
      </c>
      <c r="H251" s="558">
        <f t="shared" si="21"/>
        <v>0</v>
      </c>
      <c r="I251" s="558">
        <f t="shared" si="22"/>
        <v>0</v>
      </c>
      <c r="J251" s="558">
        <f t="shared" si="23"/>
        <v>0</v>
      </c>
      <c r="K251" s="549" t="s">
        <v>521</v>
      </c>
      <c r="P251" s="18" t="s">
        <v>89</v>
      </c>
    </row>
    <row r="252" spans="4:16" s="300" customFormat="1" x14ac:dyDescent="0.25">
      <c r="D252" s="857">
        <v>83</v>
      </c>
      <c r="E252" s="558">
        <f t="shared" si="18"/>
        <v>0</v>
      </c>
      <c r="F252" s="558">
        <f t="shared" si="19"/>
        <v>0</v>
      </c>
      <c r="G252" s="558">
        <f t="shared" si="20"/>
        <v>0</v>
      </c>
      <c r="H252" s="558">
        <f t="shared" si="21"/>
        <v>0</v>
      </c>
      <c r="I252" s="558">
        <f t="shared" si="22"/>
        <v>0</v>
      </c>
      <c r="J252" s="558">
        <f t="shared" si="23"/>
        <v>0</v>
      </c>
      <c r="K252" s="549" t="s">
        <v>521</v>
      </c>
      <c r="P252" s="18" t="s">
        <v>89</v>
      </c>
    </row>
    <row r="253" spans="4:16" s="300" customFormat="1" x14ac:dyDescent="0.25">
      <c r="D253" s="857">
        <v>84</v>
      </c>
      <c r="E253" s="558">
        <f t="shared" si="18"/>
        <v>0</v>
      </c>
      <c r="F253" s="558">
        <f t="shared" si="19"/>
        <v>0</v>
      </c>
      <c r="G253" s="558">
        <f t="shared" si="20"/>
        <v>0</v>
      </c>
      <c r="H253" s="558">
        <f t="shared" si="21"/>
        <v>0</v>
      </c>
      <c r="I253" s="558">
        <f t="shared" si="22"/>
        <v>0</v>
      </c>
      <c r="J253" s="558">
        <f t="shared" si="23"/>
        <v>0</v>
      </c>
      <c r="K253" s="549" t="s">
        <v>521</v>
      </c>
      <c r="P253" s="18" t="s">
        <v>89</v>
      </c>
    </row>
    <row r="254" spans="4:16" s="300" customFormat="1" x14ac:dyDescent="0.25">
      <c r="D254" s="857">
        <v>85</v>
      </c>
      <c r="E254" s="558">
        <f t="shared" si="18"/>
        <v>0</v>
      </c>
      <c r="F254" s="558">
        <f t="shared" si="19"/>
        <v>0</v>
      </c>
      <c r="G254" s="558">
        <f t="shared" si="20"/>
        <v>0</v>
      </c>
      <c r="H254" s="558">
        <f t="shared" si="21"/>
        <v>0</v>
      </c>
      <c r="I254" s="558">
        <f t="shared" si="22"/>
        <v>0</v>
      </c>
      <c r="J254" s="558">
        <f t="shared" si="23"/>
        <v>0</v>
      </c>
      <c r="K254" s="549" t="s">
        <v>521</v>
      </c>
      <c r="P254" s="18" t="s">
        <v>89</v>
      </c>
    </row>
    <row r="255" spans="4:16" s="300" customFormat="1" x14ac:dyDescent="0.25">
      <c r="D255" s="857">
        <v>86</v>
      </c>
      <c r="E255" s="558">
        <f t="shared" si="18"/>
        <v>0</v>
      </c>
      <c r="F255" s="558">
        <f t="shared" si="19"/>
        <v>0</v>
      </c>
      <c r="G255" s="558">
        <f t="shared" si="20"/>
        <v>0</v>
      </c>
      <c r="H255" s="558">
        <f t="shared" si="21"/>
        <v>0</v>
      </c>
      <c r="I255" s="558">
        <f t="shared" si="22"/>
        <v>0</v>
      </c>
      <c r="J255" s="558">
        <f t="shared" si="23"/>
        <v>0</v>
      </c>
      <c r="K255" s="549" t="s">
        <v>521</v>
      </c>
      <c r="P255" s="18" t="s">
        <v>89</v>
      </c>
    </row>
    <row r="256" spans="4:16" s="300" customFormat="1" x14ac:dyDescent="0.25">
      <c r="D256" s="857">
        <v>87</v>
      </c>
      <c r="E256" s="558">
        <f t="shared" si="18"/>
        <v>0</v>
      </c>
      <c r="F256" s="558">
        <f t="shared" si="19"/>
        <v>0</v>
      </c>
      <c r="G256" s="558">
        <f t="shared" si="20"/>
        <v>0</v>
      </c>
      <c r="H256" s="558">
        <f t="shared" si="21"/>
        <v>0</v>
      </c>
      <c r="I256" s="558">
        <f t="shared" si="22"/>
        <v>0</v>
      </c>
      <c r="J256" s="558">
        <f t="shared" si="23"/>
        <v>0</v>
      </c>
      <c r="K256" s="549" t="s">
        <v>521</v>
      </c>
      <c r="P256" s="18" t="s">
        <v>89</v>
      </c>
    </row>
    <row r="257" spans="4:16" s="300" customFormat="1" x14ac:dyDescent="0.25">
      <c r="D257" s="857">
        <v>88</v>
      </c>
      <c r="E257" s="558">
        <f t="shared" si="18"/>
        <v>0</v>
      </c>
      <c r="F257" s="558">
        <f t="shared" si="19"/>
        <v>0</v>
      </c>
      <c r="G257" s="558">
        <f t="shared" si="20"/>
        <v>0</v>
      </c>
      <c r="H257" s="558">
        <f t="shared" si="21"/>
        <v>0</v>
      </c>
      <c r="I257" s="558">
        <f t="shared" si="22"/>
        <v>0</v>
      </c>
      <c r="J257" s="558">
        <f t="shared" si="23"/>
        <v>0</v>
      </c>
      <c r="K257" s="549" t="s">
        <v>521</v>
      </c>
      <c r="P257" s="18" t="s">
        <v>89</v>
      </c>
    </row>
    <row r="258" spans="4:16" s="300" customFormat="1" x14ac:dyDescent="0.25">
      <c r="D258" s="857">
        <v>89</v>
      </c>
      <c r="E258" s="558">
        <f t="shared" si="18"/>
        <v>0</v>
      </c>
      <c r="F258" s="558">
        <f t="shared" si="19"/>
        <v>0</v>
      </c>
      <c r="G258" s="558">
        <f t="shared" si="20"/>
        <v>0</v>
      </c>
      <c r="H258" s="558">
        <f t="shared" si="21"/>
        <v>0</v>
      </c>
      <c r="I258" s="558">
        <f t="shared" si="22"/>
        <v>0</v>
      </c>
      <c r="J258" s="558">
        <f t="shared" si="23"/>
        <v>0</v>
      </c>
      <c r="K258" s="549" t="s">
        <v>521</v>
      </c>
      <c r="P258" s="18" t="s">
        <v>89</v>
      </c>
    </row>
    <row r="259" spans="4:16" s="300" customFormat="1" x14ac:dyDescent="0.25">
      <c r="D259" s="858" t="s">
        <v>509</v>
      </c>
      <c r="E259" s="559">
        <f t="shared" si="18"/>
        <v>0</v>
      </c>
      <c r="F259" s="559">
        <f t="shared" si="19"/>
        <v>0</v>
      </c>
      <c r="G259" s="559">
        <f t="shared" si="20"/>
        <v>0</v>
      </c>
      <c r="H259" s="559">
        <f t="shared" si="21"/>
        <v>0</v>
      </c>
      <c r="I259" s="559">
        <f t="shared" si="22"/>
        <v>0</v>
      </c>
      <c r="J259" s="559">
        <f t="shared" si="23"/>
        <v>0</v>
      </c>
      <c r="K259" s="550" t="s">
        <v>521</v>
      </c>
      <c r="P259" s="18" t="s">
        <v>89</v>
      </c>
    </row>
    <row r="260" spans="4:16" s="300" customFormat="1" ht="15.75" thickBot="1" x14ac:dyDescent="0.3">
      <c r="P260" s="18" t="s">
        <v>89</v>
      </c>
    </row>
    <row r="261" spans="4:16" s="300" customFormat="1" ht="15.75" thickBot="1" x14ac:dyDescent="0.3">
      <c r="E261" s="951" t="s">
        <v>1098</v>
      </c>
      <c r="F261" s="952"/>
      <c r="G261" s="952"/>
      <c r="H261" s="952"/>
      <c r="I261" s="952"/>
      <c r="J261" s="952"/>
      <c r="K261" s="952"/>
      <c r="L261" s="952"/>
      <c r="M261" s="952"/>
      <c r="N261" s="953"/>
      <c r="P261" s="18" t="s">
        <v>89</v>
      </c>
    </row>
    <row r="262" spans="4:16" x14ac:dyDescent="0.25">
      <c r="D262" s="402"/>
      <c r="E262" s="373" t="s">
        <v>943</v>
      </c>
      <c r="F262" s="373" t="s">
        <v>954</v>
      </c>
      <c r="G262" s="373" t="s">
        <v>955</v>
      </c>
      <c r="H262" s="373" t="s">
        <v>956</v>
      </c>
      <c r="I262" s="373" t="s">
        <v>957</v>
      </c>
      <c r="J262" s="373" t="s">
        <v>958</v>
      </c>
      <c r="K262" s="373" t="s">
        <v>959</v>
      </c>
      <c r="L262" s="373" t="s">
        <v>960</v>
      </c>
      <c r="M262" s="373" t="s">
        <v>961</v>
      </c>
      <c r="N262" s="374" t="s">
        <v>200</v>
      </c>
      <c r="P262" s="18" t="s">
        <v>89</v>
      </c>
    </row>
    <row r="263" spans="4:16" x14ac:dyDescent="0.25">
      <c r="D263" s="402"/>
      <c r="E263" s="518" t="s">
        <v>521</v>
      </c>
      <c r="F263" s="518" t="s">
        <v>521</v>
      </c>
      <c r="G263" s="518" t="s">
        <v>521</v>
      </c>
      <c r="H263" s="518" t="s">
        <v>521</v>
      </c>
      <c r="I263" s="518" t="s">
        <v>521</v>
      </c>
      <c r="J263" s="518" t="s">
        <v>521</v>
      </c>
      <c r="K263" s="518" t="s">
        <v>521</v>
      </c>
      <c r="L263" s="518" t="s">
        <v>521</v>
      </c>
      <c r="M263" s="518" t="s">
        <v>521</v>
      </c>
      <c r="N263" s="859" t="s">
        <v>1056</v>
      </c>
      <c r="P263" s="18" t="s">
        <v>89</v>
      </c>
    </row>
    <row r="264" spans="4:16" ht="15" customHeight="1" x14ac:dyDescent="0.25">
      <c r="D264" s="950" t="s">
        <v>1134</v>
      </c>
      <c r="E264" s="518" t="s">
        <v>521</v>
      </c>
      <c r="F264" s="518" t="s">
        <v>521</v>
      </c>
      <c r="G264" s="518" t="s">
        <v>521</v>
      </c>
      <c r="H264" s="518" t="s">
        <v>521</v>
      </c>
      <c r="I264" s="518" t="s">
        <v>521</v>
      </c>
      <c r="J264" s="518" t="s">
        <v>521</v>
      </c>
      <c r="K264" s="518" t="s">
        <v>521</v>
      </c>
      <c r="L264" s="518" t="s">
        <v>521</v>
      </c>
      <c r="M264" s="518" t="s">
        <v>521</v>
      </c>
      <c r="N264" s="518" t="s">
        <v>521</v>
      </c>
      <c r="P264" s="18" t="s">
        <v>89</v>
      </c>
    </row>
    <row r="265" spans="4:16" x14ac:dyDescent="0.25">
      <c r="D265" s="311" t="s">
        <v>41</v>
      </c>
      <c r="E265" s="949"/>
      <c r="F265" s="439"/>
      <c r="G265" s="439"/>
      <c r="H265" s="439"/>
      <c r="I265" s="439"/>
      <c r="J265" s="439"/>
      <c r="K265" s="439"/>
      <c r="L265" s="439"/>
      <c r="M265" s="439"/>
      <c r="N265" s="439"/>
      <c r="P265" s="18" t="s">
        <v>89</v>
      </c>
    </row>
    <row r="266" spans="4:16" x14ac:dyDescent="0.25">
      <c r="D266" s="856">
        <v>1</v>
      </c>
      <c r="E266" s="548" t="s">
        <v>521</v>
      </c>
      <c r="F266" s="548" t="s">
        <v>521</v>
      </c>
      <c r="G266" s="548" t="s">
        <v>521</v>
      </c>
      <c r="H266" s="548" t="s">
        <v>521</v>
      </c>
      <c r="I266" s="548" t="s">
        <v>521</v>
      </c>
      <c r="J266" s="548" t="s">
        <v>521</v>
      </c>
      <c r="K266" s="548" t="s">
        <v>521</v>
      </c>
      <c r="L266" s="548" t="s">
        <v>521</v>
      </c>
      <c r="M266" s="548" t="s">
        <v>521</v>
      </c>
      <c r="N266" s="548" t="s">
        <v>521</v>
      </c>
      <c r="P266" s="18" t="s">
        <v>89</v>
      </c>
    </row>
    <row r="267" spans="4:16" x14ac:dyDescent="0.25">
      <c r="D267" s="857">
        <v>2</v>
      </c>
      <c r="E267" s="549" t="s">
        <v>521</v>
      </c>
      <c r="F267" s="549" t="s">
        <v>521</v>
      </c>
      <c r="G267" s="549" t="s">
        <v>521</v>
      </c>
      <c r="H267" s="549" t="s">
        <v>521</v>
      </c>
      <c r="I267" s="549" t="s">
        <v>521</v>
      </c>
      <c r="J267" s="549" t="s">
        <v>521</v>
      </c>
      <c r="K267" s="549" t="s">
        <v>521</v>
      </c>
      <c r="L267" s="549" t="s">
        <v>521</v>
      </c>
      <c r="M267" s="549" t="s">
        <v>521</v>
      </c>
      <c r="N267" s="549" t="s">
        <v>521</v>
      </c>
      <c r="P267" s="18" t="s">
        <v>89</v>
      </c>
    </row>
    <row r="268" spans="4:16" x14ac:dyDescent="0.25">
      <c r="D268" s="857">
        <v>3</v>
      </c>
      <c r="E268" s="549" t="s">
        <v>521</v>
      </c>
      <c r="F268" s="549" t="s">
        <v>521</v>
      </c>
      <c r="G268" s="549" t="s">
        <v>521</v>
      </c>
      <c r="H268" s="549" t="s">
        <v>521</v>
      </c>
      <c r="I268" s="549" t="s">
        <v>521</v>
      </c>
      <c r="J268" s="549" t="s">
        <v>521</v>
      </c>
      <c r="K268" s="549" t="s">
        <v>521</v>
      </c>
      <c r="L268" s="549" t="s">
        <v>521</v>
      </c>
      <c r="M268" s="549" t="s">
        <v>521</v>
      </c>
      <c r="N268" s="549" t="s">
        <v>521</v>
      </c>
      <c r="P268" s="18" t="s">
        <v>89</v>
      </c>
    </row>
    <row r="269" spans="4:16" x14ac:dyDescent="0.25">
      <c r="D269" s="857">
        <v>4</v>
      </c>
      <c r="E269" s="549" t="s">
        <v>521</v>
      </c>
      <c r="F269" s="549" t="s">
        <v>521</v>
      </c>
      <c r="G269" s="549" t="s">
        <v>521</v>
      </c>
      <c r="H269" s="549" t="s">
        <v>521</v>
      </c>
      <c r="I269" s="549" t="s">
        <v>521</v>
      </c>
      <c r="J269" s="549" t="s">
        <v>521</v>
      </c>
      <c r="K269" s="549" t="s">
        <v>521</v>
      </c>
      <c r="L269" s="549" t="s">
        <v>521</v>
      </c>
      <c r="M269" s="549" t="s">
        <v>521</v>
      </c>
      <c r="N269" s="549" t="s">
        <v>521</v>
      </c>
      <c r="P269" s="18" t="s">
        <v>89</v>
      </c>
    </row>
    <row r="270" spans="4:16" x14ac:dyDescent="0.25">
      <c r="D270" s="857">
        <v>5</v>
      </c>
      <c r="E270" s="549" t="s">
        <v>521</v>
      </c>
      <c r="F270" s="549" t="s">
        <v>521</v>
      </c>
      <c r="G270" s="549" t="s">
        <v>521</v>
      </c>
      <c r="H270" s="549" t="s">
        <v>521</v>
      </c>
      <c r="I270" s="549" t="s">
        <v>521</v>
      </c>
      <c r="J270" s="549" t="s">
        <v>521</v>
      </c>
      <c r="K270" s="549" t="s">
        <v>521</v>
      </c>
      <c r="L270" s="549" t="s">
        <v>521</v>
      </c>
      <c r="M270" s="549" t="s">
        <v>521</v>
      </c>
      <c r="N270" s="549" t="s">
        <v>521</v>
      </c>
      <c r="P270" s="18" t="s">
        <v>89</v>
      </c>
    </row>
    <row r="271" spans="4:16" x14ac:dyDescent="0.25">
      <c r="D271" s="857">
        <v>6</v>
      </c>
      <c r="E271" s="549" t="s">
        <v>521</v>
      </c>
      <c r="F271" s="549" t="s">
        <v>521</v>
      </c>
      <c r="G271" s="549" t="s">
        <v>521</v>
      </c>
      <c r="H271" s="549" t="s">
        <v>521</v>
      </c>
      <c r="I271" s="549" t="s">
        <v>521</v>
      </c>
      <c r="J271" s="549" t="s">
        <v>521</v>
      </c>
      <c r="K271" s="549" t="s">
        <v>521</v>
      </c>
      <c r="L271" s="549" t="s">
        <v>521</v>
      </c>
      <c r="M271" s="549" t="s">
        <v>521</v>
      </c>
      <c r="N271" s="549" t="s">
        <v>521</v>
      </c>
      <c r="P271" s="18" t="s">
        <v>89</v>
      </c>
    </row>
    <row r="272" spans="4:16" x14ac:dyDescent="0.25">
      <c r="D272" s="857">
        <v>7</v>
      </c>
      <c r="E272" s="549" t="s">
        <v>521</v>
      </c>
      <c r="F272" s="549" t="s">
        <v>521</v>
      </c>
      <c r="G272" s="549" t="s">
        <v>521</v>
      </c>
      <c r="H272" s="549" t="s">
        <v>521</v>
      </c>
      <c r="I272" s="549" t="s">
        <v>521</v>
      </c>
      <c r="J272" s="549" t="s">
        <v>521</v>
      </c>
      <c r="K272" s="549" t="s">
        <v>521</v>
      </c>
      <c r="L272" s="549" t="s">
        <v>521</v>
      </c>
      <c r="M272" s="549" t="s">
        <v>521</v>
      </c>
      <c r="N272" s="549" t="s">
        <v>521</v>
      </c>
      <c r="P272" s="18" t="s">
        <v>89</v>
      </c>
    </row>
    <row r="273" spans="4:16" x14ac:dyDescent="0.25">
      <c r="D273" s="857">
        <v>8</v>
      </c>
      <c r="E273" s="549" t="s">
        <v>521</v>
      </c>
      <c r="F273" s="549" t="s">
        <v>521</v>
      </c>
      <c r="G273" s="549" t="s">
        <v>521</v>
      </c>
      <c r="H273" s="549" t="s">
        <v>521</v>
      </c>
      <c r="I273" s="549" t="s">
        <v>521</v>
      </c>
      <c r="J273" s="549" t="s">
        <v>521</v>
      </c>
      <c r="K273" s="549" t="s">
        <v>521</v>
      </c>
      <c r="L273" s="549" t="s">
        <v>521</v>
      </c>
      <c r="M273" s="549" t="s">
        <v>521</v>
      </c>
      <c r="N273" s="549" t="s">
        <v>521</v>
      </c>
      <c r="P273" s="18" t="s">
        <v>89</v>
      </c>
    </row>
    <row r="274" spans="4:16" x14ac:dyDescent="0.25">
      <c r="D274" s="857">
        <v>9</v>
      </c>
      <c r="E274" s="549" t="s">
        <v>521</v>
      </c>
      <c r="F274" s="549" t="s">
        <v>521</v>
      </c>
      <c r="G274" s="549" t="s">
        <v>521</v>
      </c>
      <c r="H274" s="549" t="s">
        <v>521</v>
      </c>
      <c r="I274" s="549" t="s">
        <v>521</v>
      </c>
      <c r="J274" s="549" t="s">
        <v>521</v>
      </c>
      <c r="K274" s="549" t="s">
        <v>521</v>
      </c>
      <c r="L274" s="549" t="s">
        <v>521</v>
      </c>
      <c r="M274" s="549" t="s">
        <v>521</v>
      </c>
      <c r="N274" s="549" t="s">
        <v>521</v>
      </c>
      <c r="P274" s="18" t="s">
        <v>89</v>
      </c>
    </row>
    <row r="275" spans="4:16" x14ac:dyDescent="0.25">
      <c r="D275" s="857">
        <v>10</v>
      </c>
      <c r="E275" s="549" t="s">
        <v>521</v>
      </c>
      <c r="F275" s="549" t="s">
        <v>521</v>
      </c>
      <c r="G275" s="549" t="s">
        <v>521</v>
      </c>
      <c r="H275" s="549" t="s">
        <v>521</v>
      </c>
      <c r="I275" s="549" t="s">
        <v>521</v>
      </c>
      <c r="J275" s="549" t="s">
        <v>521</v>
      </c>
      <c r="K275" s="549" t="s">
        <v>521</v>
      </c>
      <c r="L275" s="549" t="s">
        <v>521</v>
      </c>
      <c r="M275" s="549" t="s">
        <v>521</v>
      </c>
      <c r="N275" s="549" t="s">
        <v>521</v>
      </c>
      <c r="P275" s="18" t="s">
        <v>89</v>
      </c>
    </row>
    <row r="276" spans="4:16" x14ac:dyDescent="0.25">
      <c r="D276" s="857">
        <v>11</v>
      </c>
      <c r="E276" s="549" t="s">
        <v>521</v>
      </c>
      <c r="F276" s="549" t="s">
        <v>521</v>
      </c>
      <c r="G276" s="549" t="s">
        <v>521</v>
      </c>
      <c r="H276" s="549" t="s">
        <v>521</v>
      </c>
      <c r="I276" s="549" t="s">
        <v>521</v>
      </c>
      <c r="J276" s="549" t="s">
        <v>521</v>
      </c>
      <c r="K276" s="549" t="s">
        <v>521</v>
      </c>
      <c r="L276" s="549" t="s">
        <v>521</v>
      </c>
      <c r="M276" s="549" t="s">
        <v>521</v>
      </c>
      <c r="N276" s="549" t="s">
        <v>521</v>
      </c>
      <c r="P276" s="18" t="s">
        <v>89</v>
      </c>
    </row>
    <row r="277" spans="4:16" x14ac:dyDescent="0.25">
      <c r="D277" s="857">
        <v>12</v>
      </c>
      <c r="E277" s="549" t="s">
        <v>521</v>
      </c>
      <c r="F277" s="549" t="s">
        <v>521</v>
      </c>
      <c r="G277" s="549" t="s">
        <v>521</v>
      </c>
      <c r="H277" s="549" t="s">
        <v>521</v>
      </c>
      <c r="I277" s="549" t="s">
        <v>521</v>
      </c>
      <c r="J277" s="549" t="s">
        <v>521</v>
      </c>
      <c r="K277" s="549" t="s">
        <v>521</v>
      </c>
      <c r="L277" s="549" t="s">
        <v>521</v>
      </c>
      <c r="M277" s="549" t="s">
        <v>521</v>
      </c>
      <c r="N277" s="549" t="s">
        <v>521</v>
      </c>
      <c r="P277" s="18" t="s">
        <v>89</v>
      </c>
    </row>
    <row r="278" spans="4:16" x14ac:dyDescent="0.25">
      <c r="D278" s="857">
        <v>13</v>
      </c>
      <c r="E278" s="549" t="s">
        <v>521</v>
      </c>
      <c r="F278" s="549" t="s">
        <v>521</v>
      </c>
      <c r="G278" s="549" t="s">
        <v>521</v>
      </c>
      <c r="H278" s="549" t="s">
        <v>521</v>
      </c>
      <c r="I278" s="549" t="s">
        <v>521</v>
      </c>
      <c r="J278" s="549" t="s">
        <v>521</v>
      </c>
      <c r="K278" s="549" t="s">
        <v>521</v>
      </c>
      <c r="L278" s="549" t="s">
        <v>521</v>
      </c>
      <c r="M278" s="549" t="s">
        <v>521</v>
      </c>
      <c r="N278" s="549" t="s">
        <v>521</v>
      </c>
      <c r="P278" s="18" t="s">
        <v>89</v>
      </c>
    </row>
    <row r="279" spans="4:16" x14ac:dyDescent="0.25">
      <c r="D279" s="857">
        <v>14</v>
      </c>
      <c r="E279" s="549" t="s">
        <v>521</v>
      </c>
      <c r="F279" s="549" t="s">
        <v>521</v>
      </c>
      <c r="G279" s="549" t="s">
        <v>521</v>
      </c>
      <c r="H279" s="549" t="s">
        <v>521</v>
      </c>
      <c r="I279" s="549" t="s">
        <v>521</v>
      </c>
      <c r="J279" s="549" t="s">
        <v>521</v>
      </c>
      <c r="K279" s="549" t="s">
        <v>521</v>
      </c>
      <c r="L279" s="549" t="s">
        <v>521</v>
      </c>
      <c r="M279" s="549" t="s">
        <v>521</v>
      </c>
      <c r="N279" s="549" t="s">
        <v>521</v>
      </c>
      <c r="P279" s="18" t="s">
        <v>89</v>
      </c>
    </row>
    <row r="280" spans="4:16" x14ac:dyDescent="0.25">
      <c r="D280" s="857">
        <v>15</v>
      </c>
      <c r="E280" s="549" t="s">
        <v>521</v>
      </c>
      <c r="F280" s="549" t="s">
        <v>521</v>
      </c>
      <c r="G280" s="549" t="s">
        <v>521</v>
      </c>
      <c r="H280" s="549" t="s">
        <v>521</v>
      </c>
      <c r="I280" s="549" t="s">
        <v>521</v>
      </c>
      <c r="J280" s="549" t="s">
        <v>521</v>
      </c>
      <c r="K280" s="549" t="s">
        <v>521</v>
      </c>
      <c r="L280" s="549" t="s">
        <v>521</v>
      </c>
      <c r="M280" s="549" t="s">
        <v>521</v>
      </c>
      <c r="N280" s="549" t="s">
        <v>521</v>
      </c>
      <c r="P280" s="18" t="s">
        <v>89</v>
      </c>
    </row>
    <row r="281" spans="4:16" x14ac:dyDescent="0.25">
      <c r="D281" s="857">
        <v>16</v>
      </c>
      <c r="E281" s="549" t="s">
        <v>521</v>
      </c>
      <c r="F281" s="549" t="s">
        <v>521</v>
      </c>
      <c r="G281" s="549" t="s">
        <v>521</v>
      </c>
      <c r="H281" s="549" t="s">
        <v>521</v>
      </c>
      <c r="I281" s="549" t="s">
        <v>521</v>
      </c>
      <c r="J281" s="549" t="s">
        <v>521</v>
      </c>
      <c r="K281" s="549" t="s">
        <v>521</v>
      </c>
      <c r="L281" s="549" t="s">
        <v>521</v>
      </c>
      <c r="M281" s="549" t="s">
        <v>521</v>
      </c>
      <c r="N281" s="549" t="s">
        <v>521</v>
      </c>
      <c r="P281" s="18" t="s">
        <v>89</v>
      </c>
    </row>
    <row r="282" spans="4:16" x14ac:dyDescent="0.25">
      <c r="D282" s="857">
        <v>17</v>
      </c>
      <c r="E282" s="549" t="s">
        <v>521</v>
      </c>
      <c r="F282" s="549" t="s">
        <v>521</v>
      </c>
      <c r="G282" s="549" t="s">
        <v>521</v>
      </c>
      <c r="H282" s="549" t="s">
        <v>521</v>
      </c>
      <c r="I282" s="549" t="s">
        <v>521</v>
      </c>
      <c r="J282" s="549" t="s">
        <v>521</v>
      </c>
      <c r="K282" s="549" t="s">
        <v>521</v>
      </c>
      <c r="L282" s="549" t="s">
        <v>521</v>
      </c>
      <c r="M282" s="549" t="s">
        <v>521</v>
      </c>
      <c r="N282" s="549" t="s">
        <v>521</v>
      </c>
      <c r="P282" s="18" t="s">
        <v>89</v>
      </c>
    </row>
    <row r="283" spans="4:16" x14ac:dyDescent="0.25">
      <c r="D283" s="857">
        <v>18</v>
      </c>
      <c r="E283" s="549" t="s">
        <v>521</v>
      </c>
      <c r="F283" s="549" t="s">
        <v>521</v>
      </c>
      <c r="G283" s="549" t="s">
        <v>521</v>
      </c>
      <c r="H283" s="549" t="s">
        <v>521</v>
      </c>
      <c r="I283" s="549" t="s">
        <v>521</v>
      </c>
      <c r="J283" s="549" t="s">
        <v>521</v>
      </c>
      <c r="K283" s="549" t="s">
        <v>521</v>
      </c>
      <c r="L283" s="549" t="s">
        <v>521</v>
      </c>
      <c r="M283" s="549" t="s">
        <v>521</v>
      </c>
      <c r="N283" s="549" t="s">
        <v>521</v>
      </c>
      <c r="P283" s="18" t="s">
        <v>89</v>
      </c>
    </row>
    <row r="284" spans="4:16" x14ac:dyDescent="0.25">
      <c r="D284" s="857">
        <v>19</v>
      </c>
      <c r="E284" s="549" t="s">
        <v>521</v>
      </c>
      <c r="F284" s="549" t="s">
        <v>521</v>
      </c>
      <c r="G284" s="549" t="s">
        <v>521</v>
      </c>
      <c r="H284" s="549" t="s">
        <v>521</v>
      </c>
      <c r="I284" s="549" t="s">
        <v>521</v>
      </c>
      <c r="J284" s="549" t="s">
        <v>521</v>
      </c>
      <c r="K284" s="549" t="s">
        <v>521</v>
      </c>
      <c r="L284" s="549" t="s">
        <v>521</v>
      </c>
      <c r="M284" s="549" t="s">
        <v>521</v>
      </c>
      <c r="N284" s="549" t="s">
        <v>521</v>
      </c>
      <c r="P284" s="18" t="s">
        <v>89</v>
      </c>
    </row>
    <row r="285" spans="4:16" x14ac:dyDescent="0.25">
      <c r="D285" s="857">
        <v>20</v>
      </c>
      <c r="E285" s="549" t="s">
        <v>521</v>
      </c>
      <c r="F285" s="549" t="s">
        <v>521</v>
      </c>
      <c r="G285" s="549" t="s">
        <v>521</v>
      </c>
      <c r="H285" s="549" t="s">
        <v>521</v>
      </c>
      <c r="I285" s="549" t="s">
        <v>521</v>
      </c>
      <c r="J285" s="549" t="s">
        <v>521</v>
      </c>
      <c r="K285" s="549" t="s">
        <v>521</v>
      </c>
      <c r="L285" s="549" t="s">
        <v>521</v>
      </c>
      <c r="M285" s="549" t="s">
        <v>521</v>
      </c>
      <c r="N285" s="549" t="s">
        <v>521</v>
      </c>
      <c r="P285" s="18" t="s">
        <v>89</v>
      </c>
    </row>
    <row r="286" spans="4:16" x14ac:dyDescent="0.25">
      <c r="D286" s="857">
        <v>21</v>
      </c>
      <c r="E286" s="549" t="s">
        <v>521</v>
      </c>
      <c r="F286" s="549" t="s">
        <v>521</v>
      </c>
      <c r="G286" s="549" t="s">
        <v>521</v>
      </c>
      <c r="H286" s="549" t="s">
        <v>521</v>
      </c>
      <c r="I286" s="549" t="s">
        <v>521</v>
      </c>
      <c r="J286" s="549" t="s">
        <v>521</v>
      </c>
      <c r="K286" s="549" t="s">
        <v>521</v>
      </c>
      <c r="L286" s="549" t="s">
        <v>521</v>
      </c>
      <c r="M286" s="549" t="s">
        <v>521</v>
      </c>
      <c r="N286" s="549" t="s">
        <v>521</v>
      </c>
      <c r="P286" s="18" t="s">
        <v>89</v>
      </c>
    </row>
    <row r="287" spans="4:16" x14ac:dyDescent="0.25">
      <c r="D287" s="857">
        <v>22</v>
      </c>
      <c r="E287" s="549" t="s">
        <v>521</v>
      </c>
      <c r="F287" s="549" t="s">
        <v>521</v>
      </c>
      <c r="G287" s="549" t="s">
        <v>521</v>
      </c>
      <c r="H287" s="549" t="s">
        <v>521</v>
      </c>
      <c r="I287" s="549" t="s">
        <v>521</v>
      </c>
      <c r="J287" s="549" t="s">
        <v>521</v>
      </c>
      <c r="K287" s="549" t="s">
        <v>521</v>
      </c>
      <c r="L287" s="549" t="s">
        <v>521</v>
      </c>
      <c r="M287" s="549" t="s">
        <v>521</v>
      </c>
      <c r="N287" s="549" t="s">
        <v>521</v>
      </c>
      <c r="P287" s="18" t="s">
        <v>89</v>
      </c>
    </row>
    <row r="288" spans="4:16" x14ac:dyDescent="0.25">
      <c r="D288" s="857">
        <v>23</v>
      </c>
      <c r="E288" s="549" t="s">
        <v>521</v>
      </c>
      <c r="F288" s="549" t="s">
        <v>521</v>
      </c>
      <c r="G288" s="549" t="s">
        <v>521</v>
      </c>
      <c r="H288" s="549" t="s">
        <v>521</v>
      </c>
      <c r="I288" s="549" t="s">
        <v>521</v>
      </c>
      <c r="J288" s="549" t="s">
        <v>521</v>
      </c>
      <c r="K288" s="549" t="s">
        <v>521</v>
      </c>
      <c r="L288" s="549" t="s">
        <v>521</v>
      </c>
      <c r="M288" s="549" t="s">
        <v>521</v>
      </c>
      <c r="N288" s="549" t="s">
        <v>521</v>
      </c>
      <c r="P288" s="18" t="s">
        <v>89</v>
      </c>
    </row>
    <row r="289" spans="4:16" x14ac:dyDescent="0.25">
      <c r="D289" s="857">
        <v>24</v>
      </c>
      <c r="E289" s="549" t="s">
        <v>521</v>
      </c>
      <c r="F289" s="549" t="s">
        <v>521</v>
      </c>
      <c r="G289" s="549" t="s">
        <v>521</v>
      </c>
      <c r="H289" s="549" t="s">
        <v>521</v>
      </c>
      <c r="I289" s="549" t="s">
        <v>521</v>
      </c>
      <c r="J289" s="549" t="s">
        <v>521</v>
      </c>
      <c r="K289" s="549" t="s">
        <v>521</v>
      </c>
      <c r="L289" s="549" t="s">
        <v>521</v>
      </c>
      <c r="M289" s="549" t="s">
        <v>521</v>
      </c>
      <c r="N289" s="549" t="s">
        <v>521</v>
      </c>
      <c r="P289" s="18" t="s">
        <v>89</v>
      </c>
    </row>
    <row r="290" spans="4:16" x14ac:dyDescent="0.25">
      <c r="D290" s="857">
        <v>25</v>
      </c>
      <c r="E290" s="549" t="s">
        <v>521</v>
      </c>
      <c r="F290" s="549" t="s">
        <v>521</v>
      </c>
      <c r="G290" s="549" t="s">
        <v>521</v>
      </c>
      <c r="H290" s="549" t="s">
        <v>521</v>
      </c>
      <c r="I290" s="549" t="s">
        <v>521</v>
      </c>
      <c r="J290" s="549" t="s">
        <v>521</v>
      </c>
      <c r="K290" s="549" t="s">
        <v>521</v>
      </c>
      <c r="L290" s="549" t="s">
        <v>521</v>
      </c>
      <c r="M290" s="549" t="s">
        <v>521</v>
      </c>
      <c r="N290" s="549" t="s">
        <v>521</v>
      </c>
      <c r="P290" s="18" t="s">
        <v>89</v>
      </c>
    </row>
    <row r="291" spans="4:16" x14ac:dyDescent="0.25">
      <c r="D291" s="857">
        <v>26</v>
      </c>
      <c r="E291" s="549" t="s">
        <v>521</v>
      </c>
      <c r="F291" s="549" t="s">
        <v>521</v>
      </c>
      <c r="G291" s="549" t="s">
        <v>521</v>
      </c>
      <c r="H291" s="549" t="s">
        <v>521</v>
      </c>
      <c r="I291" s="549" t="s">
        <v>521</v>
      </c>
      <c r="J291" s="549" t="s">
        <v>521</v>
      </c>
      <c r="K291" s="549" t="s">
        <v>521</v>
      </c>
      <c r="L291" s="549" t="s">
        <v>521</v>
      </c>
      <c r="M291" s="549" t="s">
        <v>521</v>
      </c>
      <c r="N291" s="549" t="s">
        <v>521</v>
      </c>
      <c r="P291" s="18" t="s">
        <v>89</v>
      </c>
    </row>
    <row r="292" spans="4:16" x14ac:dyDescent="0.25">
      <c r="D292" s="857">
        <v>27</v>
      </c>
      <c r="E292" s="549" t="s">
        <v>521</v>
      </c>
      <c r="F292" s="549" t="s">
        <v>521</v>
      </c>
      <c r="G292" s="549" t="s">
        <v>521</v>
      </c>
      <c r="H292" s="549" t="s">
        <v>521</v>
      </c>
      <c r="I292" s="549" t="s">
        <v>521</v>
      </c>
      <c r="J292" s="549" t="s">
        <v>521</v>
      </c>
      <c r="K292" s="549" t="s">
        <v>521</v>
      </c>
      <c r="L292" s="549" t="s">
        <v>521</v>
      </c>
      <c r="M292" s="549" t="s">
        <v>521</v>
      </c>
      <c r="N292" s="549" t="s">
        <v>521</v>
      </c>
      <c r="P292" s="18" t="s">
        <v>89</v>
      </c>
    </row>
    <row r="293" spans="4:16" x14ac:dyDescent="0.25">
      <c r="D293" s="857">
        <v>28</v>
      </c>
      <c r="E293" s="549" t="s">
        <v>521</v>
      </c>
      <c r="F293" s="549" t="s">
        <v>521</v>
      </c>
      <c r="G293" s="549" t="s">
        <v>521</v>
      </c>
      <c r="H293" s="549" t="s">
        <v>521</v>
      </c>
      <c r="I293" s="549" t="s">
        <v>521</v>
      </c>
      <c r="J293" s="549" t="s">
        <v>521</v>
      </c>
      <c r="K293" s="549" t="s">
        <v>521</v>
      </c>
      <c r="L293" s="549" t="s">
        <v>521</v>
      </c>
      <c r="M293" s="549" t="s">
        <v>521</v>
      </c>
      <c r="N293" s="549" t="s">
        <v>521</v>
      </c>
      <c r="P293" s="18" t="s">
        <v>89</v>
      </c>
    </row>
    <row r="294" spans="4:16" x14ac:dyDescent="0.25">
      <c r="D294" s="857">
        <v>29</v>
      </c>
      <c r="E294" s="549" t="s">
        <v>521</v>
      </c>
      <c r="F294" s="549" t="s">
        <v>521</v>
      </c>
      <c r="G294" s="549" t="s">
        <v>521</v>
      </c>
      <c r="H294" s="549" t="s">
        <v>521</v>
      </c>
      <c r="I294" s="549" t="s">
        <v>521</v>
      </c>
      <c r="J294" s="549" t="s">
        <v>521</v>
      </c>
      <c r="K294" s="549" t="s">
        <v>521</v>
      </c>
      <c r="L294" s="549" t="s">
        <v>521</v>
      </c>
      <c r="M294" s="549" t="s">
        <v>521</v>
      </c>
      <c r="N294" s="549" t="s">
        <v>521</v>
      </c>
      <c r="P294" s="18" t="s">
        <v>89</v>
      </c>
    </row>
    <row r="295" spans="4:16" x14ac:dyDescent="0.25">
      <c r="D295" s="857">
        <v>30</v>
      </c>
      <c r="E295" s="549" t="s">
        <v>521</v>
      </c>
      <c r="F295" s="549" t="s">
        <v>521</v>
      </c>
      <c r="G295" s="549" t="s">
        <v>521</v>
      </c>
      <c r="H295" s="549" t="s">
        <v>521</v>
      </c>
      <c r="I295" s="549" t="s">
        <v>521</v>
      </c>
      <c r="J295" s="549" t="s">
        <v>521</v>
      </c>
      <c r="K295" s="549" t="s">
        <v>521</v>
      </c>
      <c r="L295" s="549" t="s">
        <v>521</v>
      </c>
      <c r="M295" s="549" t="s">
        <v>521</v>
      </c>
      <c r="N295" s="549" t="s">
        <v>521</v>
      </c>
      <c r="P295" s="18" t="s">
        <v>89</v>
      </c>
    </row>
    <row r="296" spans="4:16" x14ac:dyDescent="0.25">
      <c r="D296" s="857">
        <v>31</v>
      </c>
      <c r="E296" s="549" t="s">
        <v>521</v>
      </c>
      <c r="F296" s="549" t="s">
        <v>521</v>
      </c>
      <c r="G296" s="549" t="s">
        <v>521</v>
      </c>
      <c r="H296" s="549" t="s">
        <v>521</v>
      </c>
      <c r="I296" s="549" t="s">
        <v>521</v>
      </c>
      <c r="J296" s="549" t="s">
        <v>521</v>
      </c>
      <c r="K296" s="549" t="s">
        <v>521</v>
      </c>
      <c r="L296" s="549" t="s">
        <v>521</v>
      </c>
      <c r="M296" s="549" t="s">
        <v>521</v>
      </c>
      <c r="N296" s="549" t="s">
        <v>521</v>
      </c>
      <c r="P296" s="18" t="s">
        <v>89</v>
      </c>
    </row>
    <row r="297" spans="4:16" x14ac:dyDescent="0.25">
      <c r="D297" s="857">
        <v>32</v>
      </c>
      <c r="E297" s="549" t="s">
        <v>521</v>
      </c>
      <c r="F297" s="549" t="s">
        <v>521</v>
      </c>
      <c r="G297" s="549" t="s">
        <v>521</v>
      </c>
      <c r="H297" s="549" t="s">
        <v>521</v>
      </c>
      <c r="I297" s="549" t="s">
        <v>521</v>
      </c>
      <c r="J297" s="549" t="s">
        <v>521</v>
      </c>
      <c r="K297" s="549" t="s">
        <v>521</v>
      </c>
      <c r="L297" s="549" t="s">
        <v>521</v>
      </c>
      <c r="M297" s="549" t="s">
        <v>521</v>
      </c>
      <c r="N297" s="549" t="s">
        <v>521</v>
      </c>
      <c r="P297" s="18" t="s">
        <v>89</v>
      </c>
    </row>
    <row r="298" spans="4:16" x14ac:dyDescent="0.25">
      <c r="D298" s="857">
        <v>33</v>
      </c>
      <c r="E298" s="549" t="s">
        <v>521</v>
      </c>
      <c r="F298" s="549" t="s">
        <v>521</v>
      </c>
      <c r="G298" s="549" t="s">
        <v>521</v>
      </c>
      <c r="H298" s="549" t="s">
        <v>521</v>
      </c>
      <c r="I298" s="549" t="s">
        <v>521</v>
      </c>
      <c r="J298" s="549" t="s">
        <v>521</v>
      </c>
      <c r="K298" s="549" t="s">
        <v>521</v>
      </c>
      <c r="L298" s="549" t="s">
        <v>521</v>
      </c>
      <c r="M298" s="549" t="s">
        <v>521</v>
      </c>
      <c r="N298" s="549" t="s">
        <v>521</v>
      </c>
      <c r="P298" s="18" t="s">
        <v>89</v>
      </c>
    </row>
    <row r="299" spans="4:16" x14ac:dyDescent="0.25">
      <c r="D299" s="857">
        <v>34</v>
      </c>
      <c r="E299" s="549" t="s">
        <v>521</v>
      </c>
      <c r="F299" s="549" t="s">
        <v>521</v>
      </c>
      <c r="G299" s="549" t="s">
        <v>521</v>
      </c>
      <c r="H299" s="549" t="s">
        <v>521</v>
      </c>
      <c r="I299" s="549" t="s">
        <v>521</v>
      </c>
      <c r="J299" s="549" t="s">
        <v>521</v>
      </c>
      <c r="K299" s="549" t="s">
        <v>521</v>
      </c>
      <c r="L299" s="549" t="s">
        <v>521</v>
      </c>
      <c r="M299" s="549" t="s">
        <v>521</v>
      </c>
      <c r="N299" s="549" t="s">
        <v>521</v>
      </c>
      <c r="P299" s="18" t="s">
        <v>89</v>
      </c>
    </row>
    <row r="300" spans="4:16" x14ac:dyDescent="0.25">
      <c r="D300" s="857">
        <v>35</v>
      </c>
      <c r="E300" s="549" t="s">
        <v>521</v>
      </c>
      <c r="F300" s="549" t="s">
        <v>521</v>
      </c>
      <c r="G300" s="549" t="s">
        <v>521</v>
      </c>
      <c r="H300" s="549" t="s">
        <v>521</v>
      </c>
      <c r="I300" s="549" t="s">
        <v>521</v>
      </c>
      <c r="J300" s="549" t="s">
        <v>521</v>
      </c>
      <c r="K300" s="549" t="s">
        <v>521</v>
      </c>
      <c r="L300" s="549" t="s">
        <v>521</v>
      </c>
      <c r="M300" s="549" t="s">
        <v>521</v>
      </c>
      <c r="N300" s="549" t="s">
        <v>521</v>
      </c>
      <c r="P300" s="18" t="s">
        <v>89</v>
      </c>
    </row>
    <row r="301" spans="4:16" x14ac:dyDescent="0.25">
      <c r="D301" s="857">
        <v>36</v>
      </c>
      <c r="E301" s="549" t="s">
        <v>521</v>
      </c>
      <c r="F301" s="549" t="s">
        <v>521</v>
      </c>
      <c r="G301" s="549" t="s">
        <v>521</v>
      </c>
      <c r="H301" s="549" t="s">
        <v>521</v>
      </c>
      <c r="I301" s="549" t="s">
        <v>521</v>
      </c>
      <c r="J301" s="549" t="s">
        <v>521</v>
      </c>
      <c r="K301" s="549" t="s">
        <v>521</v>
      </c>
      <c r="L301" s="549" t="s">
        <v>521</v>
      </c>
      <c r="M301" s="549" t="s">
        <v>521</v>
      </c>
      <c r="N301" s="549" t="s">
        <v>521</v>
      </c>
      <c r="P301" s="18" t="s">
        <v>89</v>
      </c>
    </row>
    <row r="302" spans="4:16" x14ac:dyDescent="0.25">
      <c r="D302" s="857">
        <v>37</v>
      </c>
      <c r="E302" s="549" t="s">
        <v>521</v>
      </c>
      <c r="F302" s="549" t="s">
        <v>521</v>
      </c>
      <c r="G302" s="549" t="s">
        <v>521</v>
      </c>
      <c r="H302" s="549" t="s">
        <v>521</v>
      </c>
      <c r="I302" s="549" t="s">
        <v>521</v>
      </c>
      <c r="J302" s="549" t="s">
        <v>521</v>
      </c>
      <c r="K302" s="549" t="s">
        <v>521</v>
      </c>
      <c r="L302" s="549" t="s">
        <v>521</v>
      </c>
      <c r="M302" s="549" t="s">
        <v>521</v>
      </c>
      <c r="N302" s="549" t="s">
        <v>521</v>
      </c>
      <c r="P302" s="18" t="s">
        <v>89</v>
      </c>
    </row>
    <row r="303" spans="4:16" x14ac:dyDescent="0.25">
      <c r="D303" s="857">
        <v>38</v>
      </c>
      <c r="E303" s="549" t="s">
        <v>521</v>
      </c>
      <c r="F303" s="549" t="s">
        <v>521</v>
      </c>
      <c r="G303" s="549" t="s">
        <v>521</v>
      </c>
      <c r="H303" s="549" t="s">
        <v>521</v>
      </c>
      <c r="I303" s="549" t="s">
        <v>521</v>
      </c>
      <c r="J303" s="549" t="s">
        <v>521</v>
      </c>
      <c r="K303" s="549" t="s">
        <v>521</v>
      </c>
      <c r="L303" s="549" t="s">
        <v>521</v>
      </c>
      <c r="M303" s="549" t="s">
        <v>521</v>
      </c>
      <c r="N303" s="549" t="s">
        <v>521</v>
      </c>
      <c r="P303" s="18" t="s">
        <v>89</v>
      </c>
    </row>
    <row r="304" spans="4:16" x14ac:dyDescent="0.25">
      <c r="D304" s="857">
        <v>39</v>
      </c>
      <c r="E304" s="549" t="s">
        <v>521</v>
      </c>
      <c r="F304" s="549" t="s">
        <v>521</v>
      </c>
      <c r="G304" s="549" t="s">
        <v>521</v>
      </c>
      <c r="H304" s="549" t="s">
        <v>521</v>
      </c>
      <c r="I304" s="549" t="s">
        <v>521</v>
      </c>
      <c r="J304" s="549" t="s">
        <v>521</v>
      </c>
      <c r="K304" s="549" t="s">
        <v>521</v>
      </c>
      <c r="L304" s="549" t="s">
        <v>521</v>
      </c>
      <c r="M304" s="549" t="s">
        <v>521</v>
      </c>
      <c r="N304" s="549" t="s">
        <v>521</v>
      </c>
      <c r="P304" s="18" t="s">
        <v>89</v>
      </c>
    </row>
    <row r="305" spans="4:16" x14ac:dyDescent="0.25">
      <c r="D305" s="857">
        <v>40</v>
      </c>
      <c r="E305" s="549" t="s">
        <v>521</v>
      </c>
      <c r="F305" s="549" t="s">
        <v>521</v>
      </c>
      <c r="G305" s="549" t="s">
        <v>521</v>
      </c>
      <c r="H305" s="549" t="s">
        <v>521</v>
      </c>
      <c r="I305" s="549" t="s">
        <v>521</v>
      </c>
      <c r="J305" s="549" t="s">
        <v>521</v>
      </c>
      <c r="K305" s="549" t="s">
        <v>521</v>
      </c>
      <c r="L305" s="549" t="s">
        <v>521</v>
      </c>
      <c r="M305" s="549" t="s">
        <v>521</v>
      </c>
      <c r="N305" s="549" t="s">
        <v>521</v>
      </c>
      <c r="P305" s="18" t="s">
        <v>89</v>
      </c>
    </row>
    <row r="306" spans="4:16" x14ac:dyDescent="0.25">
      <c r="D306" s="857">
        <v>41</v>
      </c>
      <c r="E306" s="549" t="s">
        <v>521</v>
      </c>
      <c r="F306" s="549" t="s">
        <v>521</v>
      </c>
      <c r="G306" s="549" t="s">
        <v>521</v>
      </c>
      <c r="H306" s="549" t="s">
        <v>521</v>
      </c>
      <c r="I306" s="549" t="s">
        <v>521</v>
      </c>
      <c r="J306" s="549" t="s">
        <v>521</v>
      </c>
      <c r="K306" s="549" t="s">
        <v>521</v>
      </c>
      <c r="L306" s="549" t="s">
        <v>521</v>
      </c>
      <c r="M306" s="549" t="s">
        <v>521</v>
      </c>
      <c r="N306" s="549" t="s">
        <v>521</v>
      </c>
      <c r="P306" s="18" t="s">
        <v>89</v>
      </c>
    </row>
    <row r="307" spans="4:16" x14ac:dyDescent="0.25">
      <c r="D307" s="857">
        <v>42</v>
      </c>
      <c r="E307" s="549" t="s">
        <v>521</v>
      </c>
      <c r="F307" s="549" t="s">
        <v>521</v>
      </c>
      <c r="G307" s="549" t="s">
        <v>521</v>
      </c>
      <c r="H307" s="549" t="s">
        <v>521</v>
      </c>
      <c r="I307" s="549" t="s">
        <v>521</v>
      </c>
      <c r="J307" s="549" t="s">
        <v>521</v>
      </c>
      <c r="K307" s="549" t="s">
        <v>521</v>
      </c>
      <c r="L307" s="549" t="s">
        <v>521</v>
      </c>
      <c r="M307" s="549" t="s">
        <v>521</v>
      </c>
      <c r="N307" s="549" t="s">
        <v>521</v>
      </c>
      <c r="P307" s="18" t="s">
        <v>89</v>
      </c>
    </row>
    <row r="308" spans="4:16" x14ac:dyDescent="0.25">
      <c r="D308" s="857">
        <v>43</v>
      </c>
      <c r="E308" s="549" t="s">
        <v>521</v>
      </c>
      <c r="F308" s="549" t="s">
        <v>521</v>
      </c>
      <c r="G308" s="549" t="s">
        <v>521</v>
      </c>
      <c r="H308" s="549" t="s">
        <v>521</v>
      </c>
      <c r="I308" s="549" t="s">
        <v>521</v>
      </c>
      <c r="J308" s="549" t="s">
        <v>521</v>
      </c>
      <c r="K308" s="549" t="s">
        <v>521</v>
      </c>
      <c r="L308" s="549" t="s">
        <v>521</v>
      </c>
      <c r="M308" s="549" t="s">
        <v>521</v>
      </c>
      <c r="N308" s="549" t="s">
        <v>521</v>
      </c>
      <c r="P308" s="18" t="s">
        <v>89</v>
      </c>
    </row>
    <row r="309" spans="4:16" x14ac:dyDescent="0.25">
      <c r="D309" s="857">
        <v>44</v>
      </c>
      <c r="E309" s="549" t="s">
        <v>521</v>
      </c>
      <c r="F309" s="549" t="s">
        <v>521</v>
      </c>
      <c r="G309" s="549" t="s">
        <v>521</v>
      </c>
      <c r="H309" s="549" t="s">
        <v>521</v>
      </c>
      <c r="I309" s="549" t="s">
        <v>521</v>
      </c>
      <c r="J309" s="549" t="s">
        <v>521</v>
      </c>
      <c r="K309" s="549" t="s">
        <v>521</v>
      </c>
      <c r="L309" s="549" t="s">
        <v>521</v>
      </c>
      <c r="M309" s="549" t="s">
        <v>521</v>
      </c>
      <c r="N309" s="549" t="s">
        <v>521</v>
      </c>
      <c r="P309" s="18" t="s">
        <v>89</v>
      </c>
    </row>
    <row r="310" spans="4:16" x14ac:dyDescent="0.25">
      <c r="D310" s="857">
        <v>45</v>
      </c>
      <c r="E310" s="549" t="s">
        <v>521</v>
      </c>
      <c r="F310" s="549" t="s">
        <v>521</v>
      </c>
      <c r="G310" s="549" t="s">
        <v>521</v>
      </c>
      <c r="H310" s="549" t="s">
        <v>521</v>
      </c>
      <c r="I310" s="549" t="s">
        <v>521</v>
      </c>
      <c r="J310" s="549" t="s">
        <v>521</v>
      </c>
      <c r="K310" s="549" t="s">
        <v>521</v>
      </c>
      <c r="L310" s="549" t="s">
        <v>521</v>
      </c>
      <c r="M310" s="549" t="s">
        <v>521</v>
      </c>
      <c r="N310" s="549" t="s">
        <v>521</v>
      </c>
      <c r="P310" s="18" t="s">
        <v>89</v>
      </c>
    </row>
    <row r="311" spans="4:16" x14ac:dyDescent="0.25">
      <c r="D311" s="857">
        <v>46</v>
      </c>
      <c r="E311" s="549" t="s">
        <v>521</v>
      </c>
      <c r="F311" s="549" t="s">
        <v>521</v>
      </c>
      <c r="G311" s="549" t="s">
        <v>521</v>
      </c>
      <c r="H311" s="549" t="s">
        <v>521</v>
      </c>
      <c r="I311" s="549" t="s">
        <v>521</v>
      </c>
      <c r="J311" s="549" t="s">
        <v>521</v>
      </c>
      <c r="K311" s="549" t="s">
        <v>521</v>
      </c>
      <c r="L311" s="549" t="s">
        <v>521</v>
      </c>
      <c r="M311" s="549" t="s">
        <v>521</v>
      </c>
      <c r="N311" s="549" t="s">
        <v>521</v>
      </c>
      <c r="P311" s="18" t="s">
        <v>89</v>
      </c>
    </row>
    <row r="312" spans="4:16" x14ac:dyDescent="0.25">
      <c r="D312" s="857">
        <v>47</v>
      </c>
      <c r="E312" s="549" t="s">
        <v>521</v>
      </c>
      <c r="F312" s="549" t="s">
        <v>521</v>
      </c>
      <c r="G312" s="549" t="s">
        <v>521</v>
      </c>
      <c r="H312" s="549" t="s">
        <v>521</v>
      </c>
      <c r="I312" s="549" t="s">
        <v>521</v>
      </c>
      <c r="J312" s="549" t="s">
        <v>521</v>
      </c>
      <c r="K312" s="549" t="s">
        <v>521</v>
      </c>
      <c r="L312" s="549" t="s">
        <v>521</v>
      </c>
      <c r="M312" s="549" t="s">
        <v>521</v>
      </c>
      <c r="N312" s="549" t="s">
        <v>521</v>
      </c>
      <c r="P312" s="18" t="s">
        <v>89</v>
      </c>
    </row>
    <row r="313" spans="4:16" x14ac:dyDescent="0.25">
      <c r="D313" s="857">
        <v>48</v>
      </c>
      <c r="E313" s="549" t="s">
        <v>521</v>
      </c>
      <c r="F313" s="549" t="s">
        <v>521</v>
      </c>
      <c r="G313" s="549" t="s">
        <v>521</v>
      </c>
      <c r="H313" s="549" t="s">
        <v>521</v>
      </c>
      <c r="I313" s="549" t="s">
        <v>521</v>
      </c>
      <c r="J313" s="549" t="s">
        <v>521</v>
      </c>
      <c r="K313" s="549" t="s">
        <v>521</v>
      </c>
      <c r="L313" s="549" t="s">
        <v>521</v>
      </c>
      <c r="M313" s="549" t="s">
        <v>521</v>
      </c>
      <c r="N313" s="549" t="s">
        <v>521</v>
      </c>
      <c r="P313" s="18" t="s">
        <v>89</v>
      </c>
    </row>
    <row r="314" spans="4:16" x14ac:dyDescent="0.25">
      <c r="D314" s="857">
        <v>49</v>
      </c>
      <c r="E314" s="549" t="s">
        <v>521</v>
      </c>
      <c r="F314" s="549" t="s">
        <v>521</v>
      </c>
      <c r="G314" s="549" t="s">
        <v>521</v>
      </c>
      <c r="H314" s="549" t="s">
        <v>521</v>
      </c>
      <c r="I314" s="549" t="s">
        <v>521</v>
      </c>
      <c r="J314" s="549" t="s">
        <v>521</v>
      </c>
      <c r="K314" s="549" t="s">
        <v>521</v>
      </c>
      <c r="L314" s="549" t="s">
        <v>521</v>
      </c>
      <c r="M314" s="549" t="s">
        <v>521</v>
      </c>
      <c r="N314" s="549" t="s">
        <v>521</v>
      </c>
      <c r="P314" s="18" t="s">
        <v>89</v>
      </c>
    </row>
    <row r="315" spans="4:16" x14ac:dyDescent="0.25">
      <c r="D315" s="857">
        <v>50</v>
      </c>
      <c r="E315" s="549" t="s">
        <v>521</v>
      </c>
      <c r="F315" s="549" t="s">
        <v>521</v>
      </c>
      <c r="G315" s="549" t="s">
        <v>521</v>
      </c>
      <c r="H315" s="549" t="s">
        <v>521</v>
      </c>
      <c r="I315" s="549" t="s">
        <v>521</v>
      </c>
      <c r="J315" s="549" t="s">
        <v>521</v>
      </c>
      <c r="K315" s="549" t="s">
        <v>521</v>
      </c>
      <c r="L315" s="549" t="s">
        <v>521</v>
      </c>
      <c r="M315" s="549" t="s">
        <v>521</v>
      </c>
      <c r="N315" s="549" t="s">
        <v>521</v>
      </c>
      <c r="P315" s="18" t="s">
        <v>89</v>
      </c>
    </row>
    <row r="316" spans="4:16" x14ac:dyDescent="0.25">
      <c r="D316" s="857">
        <v>51</v>
      </c>
      <c r="E316" s="549" t="s">
        <v>521</v>
      </c>
      <c r="F316" s="549" t="s">
        <v>521</v>
      </c>
      <c r="G316" s="549" t="s">
        <v>521</v>
      </c>
      <c r="H316" s="549" t="s">
        <v>521</v>
      </c>
      <c r="I316" s="549" t="s">
        <v>521</v>
      </c>
      <c r="J316" s="549" t="s">
        <v>521</v>
      </c>
      <c r="K316" s="549" t="s">
        <v>521</v>
      </c>
      <c r="L316" s="549" t="s">
        <v>521</v>
      </c>
      <c r="M316" s="549" t="s">
        <v>521</v>
      </c>
      <c r="N316" s="549" t="s">
        <v>521</v>
      </c>
      <c r="P316" s="18" t="s">
        <v>89</v>
      </c>
    </row>
    <row r="317" spans="4:16" x14ac:dyDescent="0.25">
      <c r="D317" s="857">
        <v>52</v>
      </c>
      <c r="E317" s="549" t="s">
        <v>521</v>
      </c>
      <c r="F317" s="549" t="s">
        <v>521</v>
      </c>
      <c r="G317" s="549" t="s">
        <v>521</v>
      </c>
      <c r="H317" s="549" t="s">
        <v>521</v>
      </c>
      <c r="I317" s="549" t="s">
        <v>521</v>
      </c>
      <c r="J317" s="549" t="s">
        <v>521</v>
      </c>
      <c r="K317" s="549" t="s">
        <v>521</v>
      </c>
      <c r="L317" s="549" t="s">
        <v>521</v>
      </c>
      <c r="M317" s="549" t="s">
        <v>521</v>
      </c>
      <c r="N317" s="549" t="s">
        <v>521</v>
      </c>
      <c r="P317" s="18" t="s">
        <v>89</v>
      </c>
    </row>
    <row r="318" spans="4:16" x14ac:dyDescent="0.25">
      <c r="D318" s="857">
        <v>53</v>
      </c>
      <c r="E318" s="549" t="s">
        <v>521</v>
      </c>
      <c r="F318" s="549" t="s">
        <v>521</v>
      </c>
      <c r="G318" s="549" t="s">
        <v>521</v>
      </c>
      <c r="H318" s="549" t="s">
        <v>521</v>
      </c>
      <c r="I318" s="549" t="s">
        <v>521</v>
      </c>
      <c r="J318" s="549" t="s">
        <v>521</v>
      </c>
      <c r="K318" s="549" t="s">
        <v>521</v>
      </c>
      <c r="L318" s="549" t="s">
        <v>521</v>
      </c>
      <c r="M318" s="549" t="s">
        <v>521</v>
      </c>
      <c r="N318" s="549" t="s">
        <v>521</v>
      </c>
      <c r="P318" s="18" t="s">
        <v>89</v>
      </c>
    </row>
    <row r="319" spans="4:16" x14ac:dyDescent="0.25">
      <c r="D319" s="857">
        <v>54</v>
      </c>
      <c r="E319" s="549" t="s">
        <v>521</v>
      </c>
      <c r="F319" s="549" t="s">
        <v>521</v>
      </c>
      <c r="G319" s="549" t="s">
        <v>521</v>
      </c>
      <c r="H319" s="549" t="s">
        <v>521</v>
      </c>
      <c r="I319" s="549" t="s">
        <v>521</v>
      </c>
      <c r="J319" s="549" t="s">
        <v>521</v>
      </c>
      <c r="K319" s="549" t="s">
        <v>521</v>
      </c>
      <c r="L319" s="549" t="s">
        <v>521</v>
      </c>
      <c r="M319" s="549" t="s">
        <v>521</v>
      </c>
      <c r="N319" s="549" t="s">
        <v>521</v>
      </c>
      <c r="P319" s="18" t="s">
        <v>89</v>
      </c>
    </row>
    <row r="320" spans="4:16" x14ac:dyDescent="0.25">
      <c r="D320" s="857">
        <v>55</v>
      </c>
      <c r="E320" s="549" t="s">
        <v>521</v>
      </c>
      <c r="F320" s="549" t="s">
        <v>521</v>
      </c>
      <c r="G320" s="549" t="s">
        <v>521</v>
      </c>
      <c r="H320" s="549" t="s">
        <v>521</v>
      </c>
      <c r="I320" s="549" t="s">
        <v>521</v>
      </c>
      <c r="J320" s="549" t="s">
        <v>521</v>
      </c>
      <c r="K320" s="549" t="s">
        <v>521</v>
      </c>
      <c r="L320" s="549" t="s">
        <v>521</v>
      </c>
      <c r="M320" s="549" t="s">
        <v>521</v>
      </c>
      <c r="N320" s="549" t="s">
        <v>521</v>
      </c>
      <c r="P320" s="18" t="s">
        <v>89</v>
      </c>
    </row>
    <row r="321" spans="4:16" x14ac:dyDescent="0.25">
      <c r="D321" s="857">
        <v>56</v>
      </c>
      <c r="E321" s="549" t="s">
        <v>521</v>
      </c>
      <c r="F321" s="549" t="s">
        <v>521</v>
      </c>
      <c r="G321" s="549" t="s">
        <v>521</v>
      </c>
      <c r="H321" s="549" t="s">
        <v>521</v>
      </c>
      <c r="I321" s="549" t="s">
        <v>521</v>
      </c>
      <c r="J321" s="549" t="s">
        <v>521</v>
      </c>
      <c r="K321" s="549" t="s">
        <v>521</v>
      </c>
      <c r="L321" s="549" t="s">
        <v>521</v>
      </c>
      <c r="M321" s="549" t="s">
        <v>521</v>
      </c>
      <c r="N321" s="549" t="s">
        <v>521</v>
      </c>
      <c r="P321" s="18" t="s">
        <v>89</v>
      </c>
    </row>
    <row r="322" spans="4:16" x14ac:dyDescent="0.25">
      <c r="D322" s="857">
        <v>57</v>
      </c>
      <c r="E322" s="549" t="s">
        <v>521</v>
      </c>
      <c r="F322" s="549" t="s">
        <v>521</v>
      </c>
      <c r="G322" s="549" t="s">
        <v>521</v>
      </c>
      <c r="H322" s="549" t="s">
        <v>521</v>
      </c>
      <c r="I322" s="549" t="s">
        <v>521</v>
      </c>
      <c r="J322" s="549" t="s">
        <v>521</v>
      </c>
      <c r="K322" s="549" t="s">
        <v>521</v>
      </c>
      <c r="L322" s="549" t="s">
        <v>521</v>
      </c>
      <c r="M322" s="549" t="s">
        <v>521</v>
      </c>
      <c r="N322" s="549" t="s">
        <v>521</v>
      </c>
      <c r="P322" s="18" t="s">
        <v>89</v>
      </c>
    </row>
    <row r="323" spans="4:16" x14ac:dyDescent="0.25">
      <c r="D323" s="857">
        <v>58</v>
      </c>
      <c r="E323" s="549" t="s">
        <v>521</v>
      </c>
      <c r="F323" s="549" t="s">
        <v>521</v>
      </c>
      <c r="G323" s="549" t="s">
        <v>521</v>
      </c>
      <c r="H323" s="549" t="s">
        <v>521</v>
      </c>
      <c r="I323" s="549" t="s">
        <v>521</v>
      </c>
      <c r="J323" s="549" t="s">
        <v>521</v>
      </c>
      <c r="K323" s="549" t="s">
        <v>521</v>
      </c>
      <c r="L323" s="549" t="s">
        <v>521</v>
      </c>
      <c r="M323" s="549" t="s">
        <v>521</v>
      </c>
      <c r="N323" s="549" t="s">
        <v>521</v>
      </c>
      <c r="P323" s="18" t="s">
        <v>89</v>
      </c>
    </row>
    <row r="324" spans="4:16" x14ac:dyDescent="0.25">
      <c r="D324" s="857">
        <v>59</v>
      </c>
      <c r="E324" s="549" t="s">
        <v>521</v>
      </c>
      <c r="F324" s="549" t="s">
        <v>521</v>
      </c>
      <c r="G324" s="549" t="s">
        <v>521</v>
      </c>
      <c r="H324" s="549" t="s">
        <v>521</v>
      </c>
      <c r="I324" s="549" t="s">
        <v>521</v>
      </c>
      <c r="J324" s="549" t="s">
        <v>521</v>
      </c>
      <c r="K324" s="549" t="s">
        <v>521</v>
      </c>
      <c r="L324" s="549" t="s">
        <v>521</v>
      </c>
      <c r="M324" s="549" t="s">
        <v>521</v>
      </c>
      <c r="N324" s="549" t="s">
        <v>521</v>
      </c>
      <c r="P324" s="18" t="s">
        <v>89</v>
      </c>
    </row>
    <row r="325" spans="4:16" x14ac:dyDescent="0.25">
      <c r="D325" s="857">
        <v>60</v>
      </c>
      <c r="E325" s="549" t="s">
        <v>521</v>
      </c>
      <c r="F325" s="549" t="s">
        <v>521</v>
      </c>
      <c r="G325" s="549" t="s">
        <v>521</v>
      </c>
      <c r="H325" s="549" t="s">
        <v>521</v>
      </c>
      <c r="I325" s="549" t="s">
        <v>521</v>
      </c>
      <c r="J325" s="549" t="s">
        <v>521</v>
      </c>
      <c r="K325" s="549" t="s">
        <v>521</v>
      </c>
      <c r="L325" s="549" t="s">
        <v>521</v>
      </c>
      <c r="M325" s="549" t="s">
        <v>521</v>
      </c>
      <c r="N325" s="549" t="s">
        <v>521</v>
      </c>
      <c r="P325" s="18" t="s">
        <v>89</v>
      </c>
    </row>
    <row r="326" spans="4:16" x14ac:dyDescent="0.25">
      <c r="D326" s="857">
        <v>61</v>
      </c>
      <c r="E326" s="549" t="s">
        <v>521</v>
      </c>
      <c r="F326" s="549" t="s">
        <v>521</v>
      </c>
      <c r="G326" s="549" t="s">
        <v>521</v>
      </c>
      <c r="H326" s="549" t="s">
        <v>521</v>
      </c>
      <c r="I326" s="549" t="s">
        <v>521</v>
      </c>
      <c r="J326" s="549" t="s">
        <v>521</v>
      </c>
      <c r="K326" s="549" t="s">
        <v>521</v>
      </c>
      <c r="L326" s="549" t="s">
        <v>521</v>
      </c>
      <c r="M326" s="549" t="s">
        <v>521</v>
      </c>
      <c r="N326" s="549" t="s">
        <v>521</v>
      </c>
      <c r="P326" s="18" t="s">
        <v>89</v>
      </c>
    </row>
    <row r="327" spans="4:16" x14ac:dyDescent="0.25">
      <c r="D327" s="857">
        <v>62</v>
      </c>
      <c r="E327" s="549" t="s">
        <v>521</v>
      </c>
      <c r="F327" s="549" t="s">
        <v>521</v>
      </c>
      <c r="G327" s="549" t="s">
        <v>521</v>
      </c>
      <c r="H327" s="549" t="s">
        <v>521</v>
      </c>
      <c r="I327" s="549" t="s">
        <v>521</v>
      </c>
      <c r="J327" s="549" t="s">
        <v>521</v>
      </c>
      <c r="K327" s="549" t="s">
        <v>521</v>
      </c>
      <c r="L327" s="549" t="s">
        <v>521</v>
      </c>
      <c r="M327" s="549" t="s">
        <v>521</v>
      </c>
      <c r="N327" s="549" t="s">
        <v>521</v>
      </c>
      <c r="P327" s="18" t="s">
        <v>89</v>
      </c>
    </row>
    <row r="328" spans="4:16" x14ac:dyDescent="0.25">
      <c r="D328" s="857">
        <v>63</v>
      </c>
      <c r="E328" s="549" t="s">
        <v>521</v>
      </c>
      <c r="F328" s="549" t="s">
        <v>521</v>
      </c>
      <c r="G328" s="549" t="s">
        <v>521</v>
      </c>
      <c r="H328" s="549" t="s">
        <v>521</v>
      </c>
      <c r="I328" s="549" t="s">
        <v>521</v>
      </c>
      <c r="J328" s="549" t="s">
        <v>521</v>
      </c>
      <c r="K328" s="549" t="s">
        <v>521</v>
      </c>
      <c r="L328" s="549" t="s">
        <v>521</v>
      </c>
      <c r="M328" s="549" t="s">
        <v>521</v>
      </c>
      <c r="N328" s="549" t="s">
        <v>521</v>
      </c>
      <c r="P328" s="18" t="s">
        <v>89</v>
      </c>
    </row>
    <row r="329" spans="4:16" x14ac:dyDescent="0.25">
      <c r="D329" s="857">
        <v>64</v>
      </c>
      <c r="E329" s="549" t="s">
        <v>521</v>
      </c>
      <c r="F329" s="549" t="s">
        <v>521</v>
      </c>
      <c r="G329" s="549" t="s">
        <v>521</v>
      </c>
      <c r="H329" s="549" t="s">
        <v>521</v>
      </c>
      <c r="I329" s="549" t="s">
        <v>521</v>
      </c>
      <c r="J329" s="549" t="s">
        <v>521</v>
      </c>
      <c r="K329" s="549" t="s">
        <v>521</v>
      </c>
      <c r="L329" s="549" t="s">
        <v>521</v>
      </c>
      <c r="M329" s="549" t="s">
        <v>521</v>
      </c>
      <c r="N329" s="549" t="s">
        <v>521</v>
      </c>
      <c r="P329" s="18" t="s">
        <v>89</v>
      </c>
    </row>
    <row r="330" spans="4:16" x14ac:dyDescent="0.25">
      <c r="D330" s="857">
        <v>65</v>
      </c>
      <c r="E330" s="549" t="s">
        <v>521</v>
      </c>
      <c r="F330" s="549" t="s">
        <v>521</v>
      </c>
      <c r="G330" s="549" t="s">
        <v>521</v>
      </c>
      <c r="H330" s="549" t="s">
        <v>521</v>
      </c>
      <c r="I330" s="549" t="s">
        <v>521</v>
      </c>
      <c r="J330" s="549" t="s">
        <v>521</v>
      </c>
      <c r="K330" s="549" t="s">
        <v>521</v>
      </c>
      <c r="L330" s="549" t="s">
        <v>521</v>
      </c>
      <c r="M330" s="549" t="s">
        <v>521</v>
      </c>
      <c r="N330" s="549" t="s">
        <v>521</v>
      </c>
      <c r="P330" s="18" t="s">
        <v>89</v>
      </c>
    </row>
    <row r="331" spans="4:16" x14ac:dyDescent="0.25">
      <c r="D331" s="857">
        <v>66</v>
      </c>
      <c r="E331" s="549" t="s">
        <v>521</v>
      </c>
      <c r="F331" s="549" t="s">
        <v>521</v>
      </c>
      <c r="G331" s="549" t="s">
        <v>521</v>
      </c>
      <c r="H331" s="549" t="s">
        <v>521</v>
      </c>
      <c r="I331" s="549" t="s">
        <v>521</v>
      </c>
      <c r="J331" s="549" t="s">
        <v>521</v>
      </c>
      <c r="K331" s="549" t="s">
        <v>521</v>
      </c>
      <c r="L331" s="549" t="s">
        <v>521</v>
      </c>
      <c r="M331" s="549" t="s">
        <v>521</v>
      </c>
      <c r="N331" s="549" t="s">
        <v>521</v>
      </c>
      <c r="P331" s="18" t="s">
        <v>89</v>
      </c>
    </row>
    <row r="332" spans="4:16" x14ac:dyDescent="0.25">
      <c r="D332" s="857">
        <v>67</v>
      </c>
      <c r="E332" s="549" t="s">
        <v>521</v>
      </c>
      <c r="F332" s="549" t="s">
        <v>521</v>
      </c>
      <c r="G332" s="549" t="s">
        <v>521</v>
      </c>
      <c r="H332" s="549" t="s">
        <v>521</v>
      </c>
      <c r="I332" s="549" t="s">
        <v>521</v>
      </c>
      <c r="J332" s="549" t="s">
        <v>521</v>
      </c>
      <c r="K332" s="549" t="s">
        <v>521</v>
      </c>
      <c r="L332" s="549" t="s">
        <v>521</v>
      </c>
      <c r="M332" s="549" t="s">
        <v>521</v>
      </c>
      <c r="N332" s="549" t="s">
        <v>521</v>
      </c>
      <c r="P332" s="18" t="s">
        <v>89</v>
      </c>
    </row>
    <row r="333" spans="4:16" x14ac:dyDescent="0.25">
      <c r="D333" s="857">
        <v>68</v>
      </c>
      <c r="E333" s="549" t="s">
        <v>521</v>
      </c>
      <c r="F333" s="549" t="s">
        <v>521</v>
      </c>
      <c r="G333" s="549" t="s">
        <v>521</v>
      </c>
      <c r="H333" s="549" t="s">
        <v>521</v>
      </c>
      <c r="I333" s="549" t="s">
        <v>521</v>
      </c>
      <c r="J333" s="549" t="s">
        <v>521</v>
      </c>
      <c r="K333" s="549" t="s">
        <v>521</v>
      </c>
      <c r="L333" s="549" t="s">
        <v>521</v>
      </c>
      <c r="M333" s="549" t="s">
        <v>521</v>
      </c>
      <c r="N333" s="549" t="s">
        <v>521</v>
      </c>
      <c r="P333" s="18" t="s">
        <v>89</v>
      </c>
    </row>
    <row r="334" spans="4:16" x14ac:dyDescent="0.25">
      <c r="D334" s="857">
        <v>69</v>
      </c>
      <c r="E334" s="549" t="s">
        <v>521</v>
      </c>
      <c r="F334" s="549" t="s">
        <v>521</v>
      </c>
      <c r="G334" s="549" t="s">
        <v>521</v>
      </c>
      <c r="H334" s="549" t="s">
        <v>521</v>
      </c>
      <c r="I334" s="549" t="s">
        <v>521</v>
      </c>
      <c r="J334" s="549" t="s">
        <v>521</v>
      </c>
      <c r="K334" s="549" t="s">
        <v>521</v>
      </c>
      <c r="L334" s="549" t="s">
        <v>521</v>
      </c>
      <c r="M334" s="549" t="s">
        <v>521</v>
      </c>
      <c r="N334" s="549" t="s">
        <v>521</v>
      </c>
      <c r="P334" s="18" t="s">
        <v>89</v>
      </c>
    </row>
    <row r="335" spans="4:16" x14ac:dyDescent="0.25">
      <c r="D335" s="857">
        <v>70</v>
      </c>
      <c r="E335" s="549" t="s">
        <v>521</v>
      </c>
      <c r="F335" s="549" t="s">
        <v>521</v>
      </c>
      <c r="G335" s="549" t="s">
        <v>521</v>
      </c>
      <c r="H335" s="549" t="s">
        <v>521</v>
      </c>
      <c r="I335" s="549" t="s">
        <v>521</v>
      </c>
      <c r="J335" s="549" t="s">
        <v>521</v>
      </c>
      <c r="K335" s="549" t="s">
        <v>521</v>
      </c>
      <c r="L335" s="549" t="s">
        <v>521</v>
      </c>
      <c r="M335" s="549" t="s">
        <v>521</v>
      </c>
      <c r="N335" s="549" t="s">
        <v>521</v>
      </c>
      <c r="P335" s="18" t="s">
        <v>89</v>
      </c>
    </row>
    <row r="336" spans="4:16" x14ac:dyDescent="0.25">
      <c r="D336" s="857">
        <v>71</v>
      </c>
      <c r="E336" s="549" t="s">
        <v>521</v>
      </c>
      <c r="F336" s="549" t="s">
        <v>521</v>
      </c>
      <c r="G336" s="549" t="s">
        <v>521</v>
      </c>
      <c r="H336" s="549" t="s">
        <v>521</v>
      </c>
      <c r="I336" s="549" t="s">
        <v>521</v>
      </c>
      <c r="J336" s="549" t="s">
        <v>521</v>
      </c>
      <c r="K336" s="549" t="s">
        <v>521</v>
      </c>
      <c r="L336" s="549" t="s">
        <v>521</v>
      </c>
      <c r="M336" s="549" t="s">
        <v>521</v>
      </c>
      <c r="N336" s="549" t="s">
        <v>521</v>
      </c>
      <c r="P336" s="18" t="s">
        <v>89</v>
      </c>
    </row>
    <row r="337" spans="4:16" x14ac:dyDescent="0.25">
      <c r="D337" s="857">
        <v>72</v>
      </c>
      <c r="E337" s="549" t="s">
        <v>521</v>
      </c>
      <c r="F337" s="549" t="s">
        <v>521</v>
      </c>
      <c r="G337" s="549" t="s">
        <v>521</v>
      </c>
      <c r="H337" s="549" t="s">
        <v>521</v>
      </c>
      <c r="I337" s="549" t="s">
        <v>521</v>
      </c>
      <c r="J337" s="549" t="s">
        <v>521</v>
      </c>
      <c r="K337" s="549" t="s">
        <v>521</v>
      </c>
      <c r="L337" s="549" t="s">
        <v>521</v>
      </c>
      <c r="M337" s="549" t="s">
        <v>521</v>
      </c>
      <c r="N337" s="549" t="s">
        <v>521</v>
      </c>
      <c r="P337" s="18" t="s">
        <v>89</v>
      </c>
    </row>
    <row r="338" spans="4:16" x14ac:dyDescent="0.25">
      <c r="D338" s="857">
        <v>73</v>
      </c>
      <c r="E338" s="549" t="s">
        <v>521</v>
      </c>
      <c r="F338" s="549" t="s">
        <v>521</v>
      </c>
      <c r="G338" s="549" t="s">
        <v>521</v>
      </c>
      <c r="H338" s="549" t="s">
        <v>521</v>
      </c>
      <c r="I338" s="549" t="s">
        <v>521</v>
      </c>
      <c r="J338" s="549" t="s">
        <v>521</v>
      </c>
      <c r="K338" s="549" t="s">
        <v>521</v>
      </c>
      <c r="L338" s="549" t="s">
        <v>521</v>
      </c>
      <c r="M338" s="549" t="s">
        <v>521</v>
      </c>
      <c r="N338" s="549" t="s">
        <v>521</v>
      </c>
      <c r="P338" s="18" t="s">
        <v>89</v>
      </c>
    </row>
    <row r="339" spans="4:16" x14ac:dyDescent="0.25">
      <c r="D339" s="857">
        <v>74</v>
      </c>
      <c r="E339" s="549" t="s">
        <v>521</v>
      </c>
      <c r="F339" s="549" t="s">
        <v>521</v>
      </c>
      <c r="G339" s="549" t="s">
        <v>521</v>
      </c>
      <c r="H339" s="549" t="s">
        <v>521</v>
      </c>
      <c r="I339" s="549" t="s">
        <v>521</v>
      </c>
      <c r="J339" s="549" t="s">
        <v>521</v>
      </c>
      <c r="K339" s="549" t="s">
        <v>521</v>
      </c>
      <c r="L339" s="549" t="s">
        <v>521</v>
      </c>
      <c r="M339" s="549" t="s">
        <v>521</v>
      </c>
      <c r="N339" s="549" t="s">
        <v>521</v>
      </c>
      <c r="P339" s="18" t="s">
        <v>89</v>
      </c>
    </row>
    <row r="340" spans="4:16" x14ac:dyDescent="0.25">
      <c r="D340" s="857">
        <v>75</v>
      </c>
      <c r="E340" s="549" t="s">
        <v>521</v>
      </c>
      <c r="F340" s="549" t="s">
        <v>521</v>
      </c>
      <c r="G340" s="549" t="s">
        <v>521</v>
      </c>
      <c r="H340" s="549" t="s">
        <v>521</v>
      </c>
      <c r="I340" s="549" t="s">
        <v>521</v>
      </c>
      <c r="J340" s="549" t="s">
        <v>521</v>
      </c>
      <c r="K340" s="549" t="s">
        <v>521</v>
      </c>
      <c r="L340" s="549" t="s">
        <v>521</v>
      </c>
      <c r="M340" s="549" t="s">
        <v>521</v>
      </c>
      <c r="N340" s="549" t="s">
        <v>521</v>
      </c>
      <c r="P340" s="18" t="s">
        <v>89</v>
      </c>
    </row>
    <row r="341" spans="4:16" x14ac:dyDescent="0.25">
      <c r="D341" s="857">
        <v>76</v>
      </c>
      <c r="E341" s="549" t="s">
        <v>521</v>
      </c>
      <c r="F341" s="549" t="s">
        <v>521</v>
      </c>
      <c r="G341" s="549" t="s">
        <v>521</v>
      </c>
      <c r="H341" s="549" t="s">
        <v>521</v>
      </c>
      <c r="I341" s="549" t="s">
        <v>521</v>
      </c>
      <c r="J341" s="549" t="s">
        <v>521</v>
      </c>
      <c r="K341" s="549" t="s">
        <v>521</v>
      </c>
      <c r="L341" s="549" t="s">
        <v>521</v>
      </c>
      <c r="M341" s="549" t="s">
        <v>521</v>
      </c>
      <c r="N341" s="549" t="s">
        <v>521</v>
      </c>
      <c r="P341" s="18" t="s">
        <v>89</v>
      </c>
    </row>
    <row r="342" spans="4:16" x14ac:dyDescent="0.25">
      <c r="D342" s="857">
        <v>77</v>
      </c>
      <c r="E342" s="549" t="s">
        <v>521</v>
      </c>
      <c r="F342" s="549" t="s">
        <v>521</v>
      </c>
      <c r="G342" s="549" t="s">
        <v>521</v>
      </c>
      <c r="H342" s="549" t="s">
        <v>521</v>
      </c>
      <c r="I342" s="549" t="s">
        <v>521</v>
      </c>
      <c r="J342" s="549" t="s">
        <v>521</v>
      </c>
      <c r="K342" s="549" t="s">
        <v>521</v>
      </c>
      <c r="L342" s="549" t="s">
        <v>521</v>
      </c>
      <c r="M342" s="549" t="s">
        <v>521</v>
      </c>
      <c r="N342" s="549" t="s">
        <v>521</v>
      </c>
      <c r="P342" s="18" t="s">
        <v>89</v>
      </c>
    </row>
    <row r="343" spans="4:16" x14ac:dyDescent="0.25">
      <c r="D343" s="857">
        <v>78</v>
      </c>
      <c r="E343" s="549" t="s">
        <v>521</v>
      </c>
      <c r="F343" s="549" t="s">
        <v>521</v>
      </c>
      <c r="G343" s="549" t="s">
        <v>521</v>
      </c>
      <c r="H343" s="549" t="s">
        <v>521</v>
      </c>
      <c r="I343" s="549" t="s">
        <v>521</v>
      </c>
      <c r="J343" s="549" t="s">
        <v>521</v>
      </c>
      <c r="K343" s="549" t="s">
        <v>521</v>
      </c>
      <c r="L343" s="549" t="s">
        <v>521</v>
      </c>
      <c r="M343" s="549" t="s">
        <v>521</v>
      </c>
      <c r="N343" s="549" t="s">
        <v>521</v>
      </c>
      <c r="P343" s="18" t="s">
        <v>89</v>
      </c>
    </row>
    <row r="344" spans="4:16" x14ac:dyDescent="0.25">
      <c r="D344" s="857">
        <v>79</v>
      </c>
      <c r="E344" s="549" t="s">
        <v>521</v>
      </c>
      <c r="F344" s="549" t="s">
        <v>521</v>
      </c>
      <c r="G344" s="549" t="s">
        <v>521</v>
      </c>
      <c r="H344" s="549" t="s">
        <v>521</v>
      </c>
      <c r="I344" s="549" t="s">
        <v>521</v>
      </c>
      <c r="J344" s="549" t="s">
        <v>521</v>
      </c>
      <c r="K344" s="549" t="s">
        <v>521</v>
      </c>
      <c r="L344" s="549" t="s">
        <v>521</v>
      </c>
      <c r="M344" s="549" t="s">
        <v>521</v>
      </c>
      <c r="N344" s="549" t="s">
        <v>521</v>
      </c>
      <c r="P344" s="18" t="s">
        <v>89</v>
      </c>
    </row>
    <row r="345" spans="4:16" x14ac:dyDescent="0.25">
      <c r="D345" s="857">
        <v>80</v>
      </c>
      <c r="E345" s="549" t="s">
        <v>521</v>
      </c>
      <c r="F345" s="549" t="s">
        <v>521</v>
      </c>
      <c r="G345" s="549" t="s">
        <v>521</v>
      </c>
      <c r="H345" s="549" t="s">
        <v>521</v>
      </c>
      <c r="I345" s="549" t="s">
        <v>521</v>
      </c>
      <c r="J345" s="549" t="s">
        <v>521</v>
      </c>
      <c r="K345" s="549" t="s">
        <v>521</v>
      </c>
      <c r="L345" s="549" t="s">
        <v>521</v>
      </c>
      <c r="M345" s="549" t="s">
        <v>521</v>
      </c>
      <c r="N345" s="549" t="s">
        <v>521</v>
      </c>
      <c r="P345" s="18" t="s">
        <v>89</v>
      </c>
    </row>
    <row r="346" spans="4:16" x14ac:dyDescent="0.25">
      <c r="D346" s="857">
        <v>81</v>
      </c>
      <c r="E346" s="549" t="s">
        <v>521</v>
      </c>
      <c r="F346" s="549" t="s">
        <v>521</v>
      </c>
      <c r="G346" s="549" t="s">
        <v>521</v>
      </c>
      <c r="H346" s="549" t="s">
        <v>521</v>
      </c>
      <c r="I346" s="549" t="s">
        <v>521</v>
      </c>
      <c r="J346" s="549" t="s">
        <v>521</v>
      </c>
      <c r="K346" s="549" t="s">
        <v>521</v>
      </c>
      <c r="L346" s="549" t="s">
        <v>521</v>
      </c>
      <c r="M346" s="549" t="s">
        <v>521</v>
      </c>
      <c r="N346" s="549" t="s">
        <v>521</v>
      </c>
      <c r="P346" s="18" t="s">
        <v>89</v>
      </c>
    </row>
    <row r="347" spans="4:16" x14ac:dyDescent="0.25">
      <c r="D347" s="857">
        <v>82</v>
      </c>
      <c r="E347" s="549" t="s">
        <v>521</v>
      </c>
      <c r="F347" s="549" t="s">
        <v>521</v>
      </c>
      <c r="G347" s="549" t="s">
        <v>521</v>
      </c>
      <c r="H347" s="549" t="s">
        <v>521</v>
      </c>
      <c r="I347" s="549" t="s">
        <v>521</v>
      </c>
      <c r="J347" s="549" t="s">
        <v>521</v>
      </c>
      <c r="K347" s="549" t="s">
        <v>521</v>
      </c>
      <c r="L347" s="549" t="s">
        <v>521</v>
      </c>
      <c r="M347" s="549" t="s">
        <v>521</v>
      </c>
      <c r="N347" s="549" t="s">
        <v>521</v>
      </c>
      <c r="P347" s="18" t="s">
        <v>89</v>
      </c>
    </row>
    <row r="348" spans="4:16" x14ac:dyDescent="0.25">
      <c r="D348" s="857">
        <v>83</v>
      </c>
      <c r="E348" s="549" t="s">
        <v>521</v>
      </c>
      <c r="F348" s="549" t="s">
        <v>521</v>
      </c>
      <c r="G348" s="549" t="s">
        <v>521</v>
      </c>
      <c r="H348" s="549" t="s">
        <v>521</v>
      </c>
      <c r="I348" s="549" t="s">
        <v>521</v>
      </c>
      <c r="J348" s="549" t="s">
        <v>521</v>
      </c>
      <c r="K348" s="549" t="s">
        <v>521</v>
      </c>
      <c r="L348" s="549" t="s">
        <v>521</v>
      </c>
      <c r="M348" s="549" t="s">
        <v>521</v>
      </c>
      <c r="N348" s="549" t="s">
        <v>521</v>
      </c>
      <c r="P348" s="18" t="s">
        <v>89</v>
      </c>
    </row>
    <row r="349" spans="4:16" x14ac:dyDescent="0.25">
      <c r="D349" s="857">
        <v>84</v>
      </c>
      <c r="E349" s="549" t="s">
        <v>521</v>
      </c>
      <c r="F349" s="549" t="s">
        <v>521</v>
      </c>
      <c r="G349" s="549" t="s">
        <v>521</v>
      </c>
      <c r="H349" s="549" t="s">
        <v>521</v>
      </c>
      <c r="I349" s="549" t="s">
        <v>521</v>
      </c>
      <c r="J349" s="549" t="s">
        <v>521</v>
      </c>
      <c r="K349" s="549" t="s">
        <v>521</v>
      </c>
      <c r="L349" s="549" t="s">
        <v>521</v>
      </c>
      <c r="M349" s="549" t="s">
        <v>521</v>
      </c>
      <c r="N349" s="549" t="s">
        <v>521</v>
      </c>
      <c r="P349" s="18" t="s">
        <v>89</v>
      </c>
    </row>
    <row r="350" spans="4:16" x14ac:dyDescent="0.25">
      <c r="D350" s="857">
        <v>85</v>
      </c>
      <c r="E350" s="549" t="s">
        <v>521</v>
      </c>
      <c r="F350" s="549" t="s">
        <v>521</v>
      </c>
      <c r="G350" s="549" t="s">
        <v>521</v>
      </c>
      <c r="H350" s="549" t="s">
        <v>521</v>
      </c>
      <c r="I350" s="549" t="s">
        <v>521</v>
      </c>
      <c r="J350" s="549" t="s">
        <v>521</v>
      </c>
      <c r="K350" s="549" t="s">
        <v>521</v>
      </c>
      <c r="L350" s="549" t="s">
        <v>521</v>
      </c>
      <c r="M350" s="549" t="s">
        <v>521</v>
      </c>
      <c r="N350" s="549" t="s">
        <v>521</v>
      </c>
      <c r="P350" s="18" t="s">
        <v>89</v>
      </c>
    </row>
    <row r="351" spans="4:16" x14ac:dyDescent="0.25">
      <c r="D351" s="857">
        <v>86</v>
      </c>
      <c r="E351" s="549" t="s">
        <v>521</v>
      </c>
      <c r="F351" s="549" t="s">
        <v>521</v>
      </c>
      <c r="G351" s="549" t="s">
        <v>521</v>
      </c>
      <c r="H351" s="549" t="s">
        <v>521</v>
      </c>
      <c r="I351" s="549" t="s">
        <v>521</v>
      </c>
      <c r="J351" s="549" t="s">
        <v>521</v>
      </c>
      <c r="K351" s="549" t="s">
        <v>521</v>
      </c>
      <c r="L351" s="549" t="s">
        <v>521</v>
      </c>
      <c r="M351" s="549" t="s">
        <v>521</v>
      </c>
      <c r="N351" s="549" t="s">
        <v>521</v>
      </c>
      <c r="P351" s="18" t="s">
        <v>89</v>
      </c>
    </row>
    <row r="352" spans="4:16" x14ac:dyDescent="0.25">
      <c r="D352" s="857">
        <v>87</v>
      </c>
      <c r="E352" s="549" t="s">
        <v>521</v>
      </c>
      <c r="F352" s="549" t="s">
        <v>521</v>
      </c>
      <c r="G352" s="549" t="s">
        <v>521</v>
      </c>
      <c r="H352" s="549" t="s">
        <v>521</v>
      </c>
      <c r="I352" s="549" t="s">
        <v>521</v>
      </c>
      <c r="J352" s="549" t="s">
        <v>521</v>
      </c>
      <c r="K352" s="549" t="s">
        <v>521</v>
      </c>
      <c r="L352" s="549" t="s">
        <v>521</v>
      </c>
      <c r="M352" s="549" t="s">
        <v>521</v>
      </c>
      <c r="N352" s="549" t="s">
        <v>521</v>
      </c>
      <c r="P352" s="18" t="s">
        <v>89</v>
      </c>
    </row>
    <row r="353" spans="3:16" x14ac:dyDescent="0.25">
      <c r="D353" s="857">
        <v>88</v>
      </c>
      <c r="E353" s="549" t="s">
        <v>521</v>
      </c>
      <c r="F353" s="549" t="s">
        <v>521</v>
      </c>
      <c r="G353" s="549" t="s">
        <v>521</v>
      </c>
      <c r="H353" s="549" t="s">
        <v>521</v>
      </c>
      <c r="I353" s="549" t="s">
        <v>521</v>
      </c>
      <c r="J353" s="549" t="s">
        <v>521</v>
      </c>
      <c r="K353" s="549" t="s">
        <v>521</v>
      </c>
      <c r="L353" s="549" t="s">
        <v>521</v>
      </c>
      <c r="M353" s="549" t="s">
        <v>521</v>
      </c>
      <c r="N353" s="549" t="s">
        <v>521</v>
      </c>
      <c r="P353" s="18" t="s">
        <v>89</v>
      </c>
    </row>
    <row r="354" spans="3:16" x14ac:dyDescent="0.25">
      <c r="D354" s="857">
        <v>89</v>
      </c>
      <c r="E354" s="549" t="s">
        <v>521</v>
      </c>
      <c r="F354" s="549" t="s">
        <v>521</v>
      </c>
      <c r="G354" s="549" t="s">
        <v>521</v>
      </c>
      <c r="H354" s="549" t="s">
        <v>521</v>
      </c>
      <c r="I354" s="549" t="s">
        <v>521</v>
      </c>
      <c r="J354" s="549" t="s">
        <v>521</v>
      </c>
      <c r="K354" s="549" t="s">
        <v>521</v>
      </c>
      <c r="L354" s="549" t="s">
        <v>521</v>
      </c>
      <c r="M354" s="549" t="s">
        <v>521</v>
      </c>
      <c r="N354" s="549" t="s">
        <v>521</v>
      </c>
      <c r="P354" s="18" t="s">
        <v>89</v>
      </c>
    </row>
    <row r="355" spans="3:16" x14ac:dyDescent="0.25">
      <c r="D355" s="858" t="s">
        <v>509</v>
      </c>
      <c r="E355" s="550" t="s">
        <v>521</v>
      </c>
      <c r="F355" s="550" t="s">
        <v>521</v>
      </c>
      <c r="G355" s="550" t="s">
        <v>521</v>
      </c>
      <c r="H355" s="550" t="s">
        <v>521</v>
      </c>
      <c r="I355" s="550" t="s">
        <v>521</v>
      </c>
      <c r="J355" s="550" t="s">
        <v>521</v>
      </c>
      <c r="K355" s="550" t="s">
        <v>521</v>
      </c>
      <c r="L355" s="550" t="s">
        <v>521</v>
      </c>
      <c r="M355" s="550" t="s">
        <v>521</v>
      </c>
      <c r="N355" s="550" t="s">
        <v>521</v>
      </c>
      <c r="P355" s="18" t="s">
        <v>89</v>
      </c>
    </row>
    <row r="356" spans="3:16" ht="15.75" thickBot="1" x14ac:dyDescent="0.3">
      <c r="P356" s="18" t="s">
        <v>89</v>
      </c>
    </row>
    <row r="357" spans="3:16" s="402" customFormat="1" x14ac:dyDescent="0.25">
      <c r="E357" s="956" t="s">
        <v>1099</v>
      </c>
      <c r="F357" s="956"/>
      <c r="G357" s="957"/>
      <c r="H357" s="957"/>
      <c r="I357" s="958"/>
      <c r="J357" s="956" t="s">
        <v>1100</v>
      </c>
      <c r="K357" s="956"/>
      <c r="L357" s="957"/>
      <c r="M357" s="957"/>
      <c r="N357" s="958"/>
      <c r="P357" s="18" t="s">
        <v>89</v>
      </c>
    </row>
    <row r="358" spans="3:16" x14ac:dyDescent="0.25">
      <c r="C358" s="300"/>
      <c r="D358" s="950" t="s">
        <v>1101</v>
      </c>
      <c r="E358" s="959">
        <v>0</v>
      </c>
      <c r="F358" s="959">
        <v>1</v>
      </c>
      <c r="G358" s="959">
        <v>2</v>
      </c>
      <c r="H358" s="959">
        <v>3</v>
      </c>
      <c r="I358" s="960" t="s">
        <v>1102</v>
      </c>
      <c r="J358" s="959">
        <v>0</v>
      </c>
      <c r="K358" s="959">
        <v>1</v>
      </c>
      <c r="L358" s="959">
        <v>2</v>
      </c>
      <c r="M358" s="959">
        <v>3</v>
      </c>
      <c r="N358" s="960" t="s">
        <v>1102</v>
      </c>
      <c r="P358" s="18" t="s">
        <v>89</v>
      </c>
    </row>
    <row r="359" spans="3:16" x14ac:dyDescent="0.25">
      <c r="C359" s="300"/>
      <c r="D359" s="950" t="s">
        <v>1134</v>
      </c>
      <c r="E359" s="518" t="s">
        <v>521</v>
      </c>
      <c r="F359" s="518" t="s">
        <v>521</v>
      </c>
      <c r="G359" s="518" t="s">
        <v>521</v>
      </c>
      <c r="H359" s="518" t="s">
        <v>521</v>
      </c>
      <c r="I359" s="518" t="s">
        <v>521</v>
      </c>
      <c r="J359" s="518" t="s">
        <v>521</v>
      </c>
      <c r="K359" s="518" t="s">
        <v>521</v>
      </c>
      <c r="L359" s="518" t="s">
        <v>521</v>
      </c>
      <c r="M359" s="518" t="s">
        <v>521</v>
      </c>
      <c r="N359" s="518" t="s">
        <v>521</v>
      </c>
      <c r="P359" s="18" t="s">
        <v>89</v>
      </c>
    </row>
    <row r="360" spans="3:16" x14ac:dyDescent="0.25">
      <c r="C360" s="300"/>
      <c r="D360" s="311" t="s">
        <v>41</v>
      </c>
      <c r="E360" s="439"/>
      <c r="F360" s="439"/>
      <c r="G360" s="439"/>
      <c r="H360" s="439"/>
      <c r="I360" s="439"/>
      <c r="J360" s="439"/>
      <c r="K360" s="439"/>
      <c r="L360" s="439"/>
      <c r="M360" s="439"/>
      <c r="N360" s="439"/>
      <c r="P360" s="18" t="s">
        <v>89</v>
      </c>
    </row>
    <row r="361" spans="3:16" x14ac:dyDescent="0.25">
      <c r="C361" s="300"/>
      <c r="D361" s="856">
        <v>1</v>
      </c>
      <c r="E361" s="549" t="s">
        <v>521</v>
      </c>
      <c r="F361" s="549" t="s">
        <v>521</v>
      </c>
      <c r="G361" s="549" t="s">
        <v>521</v>
      </c>
      <c r="H361" s="549" t="s">
        <v>521</v>
      </c>
      <c r="I361" s="549" t="s">
        <v>521</v>
      </c>
      <c r="J361" s="549" t="s">
        <v>521</v>
      </c>
      <c r="K361" s="549" t="s">
        <v>521</v>
      </c>
      <c r="L361" s="549" t="s">
        <v>521</v>
      </c>
      <c r="M361" s="549" t="s">
        <v>521</v>
      </c>
      <c r="N361" s="549" t="s">
        <v>521</v>
      </c>
      <c r="P361" s="18" t="s">
        <v>89</v>
      </c>
    </row>
    <row r="362" spans="3:16" x14ac:dyDescent="0.25">
      <c r="C362" s="300"/>
      <c r="D362" s="857">
        <v>2</v>
      </c>
      <c r="E362" s="549" t="s">
        <v>521</v>
      </c>
      <c r="F362" s="549" t="s">
        <v>521</v>
      </c>
      <c r="G362" s="549" t="s">
        <v>521</v>
      </c>
      <c r="H362" s="549" t="s">
        <v>521</v>
      </c>
      <c r="I362" s="549" t="s">
        <v>521</v>
      </c>
      <c r="J362" s="549" t="s">
        <v>521</v>
      </c>
      <c r="K362" s="549" t="s">
        <v>521</v>
      </c>
      <c r="L362" s="549" t="s">
        <v>521</v>
      </c>
      <c r="M362" s="549" t="s">
        <v>521</v>
      </c>
      <c r="N362" s="549" t="s">
        <v>521</v>
      </c>
      <c r="P362" s="18" t="s">
        <v>89</v>
      </c>
    </row>
    <row r="363" spans="3:16" x14ac:dyDescent="0.25">
      <c r="C363" s="300"/>
      <c r="D363" s="857">
        <v>3</v>
      </c>
      <c r="E363" s="549" t="s">
        <v>521</v>
      </c>
      <c r="F363" s="549" t="s">
        <v>521</v>
      </c>
      <c r="G363" s="549" t="s">
        <v>521</v>
      </c>
      <c r="H363" s="549" t="s">
        <v>521</v>
      </c>
      <c r="I363" s="549" t="s">
        <v>521</v>
      </c>
      <c r="J363" s="549" t="s">
        <v>521</v>
      </c>
      <c r="K363" s="549" t="s">
        <v>521</v>
      </c>
      <c r="L363" s="549" t="s">
        <v>521</v>
      </c>
      <c r="M363" s="549" t="s">
        <v>521</v>
      </c>
      <c r="N363" s="549" t="s">
        <v>521</v>
      </c>
      <c r="P363" s="18" t="s">
        <v>89</v>
      </c>
    </row>
    <row r="364" spans="3:16" x14ac:dyDescent="0.25">
      <c r="C364" s="300"/>
      <c r="D364" s="857">
        <v>4</v>
      </c>
      <c r="E364" s="549" t="s">
        <v>521</v>
      </c>
      <c r="F364" s="549" t="s">
        <v>521</v>
      </c>
      <c r="G364" s="549" t="s">
        <v>521</v>
      </c>
      <c r="H364" s="549" t="s">
        <v>521</v>
      </c>
      <c r="I364" s="549" t="s">
        <v>521</v>
      </c>
      <c r="J364" s="549" t="s">
        <v>521</v>
      </c>
      <c r="K364" s="549" t="s">
        <v>521</v>
      </c>
      <c r="L364" s="549" t="s">
        <v>521</v>
      </c>
      <c r="M364" s="549" t="s">
        <v>521</v>
      </c>
      <c r="N364" s="549" t="s">
        <v>521</v>
      </c>
      <c r="P364" s="18" t="s">
        <v>89</v>
      </c>
    </row>
    <row r="365" spans="3:16" x14ac:dyDescent="0.25">
      <c r="C365" s="300"/>
      <c r="D365" s="857">
        <v>5</v>
      </c>
      <c r="E365" s="549" t="s">
        <v>521</v>
      </c>
      <c r="F365" s="549" t="s">
        <v>521</v>
      </c>
      <c r="G365" s="549" t="s">
        <v>521</v>
      </c>
      <c r="H365" s="549" t="s">
        <v>521</v>
      </c>
      <c r="I365" s="549" t="s">
        <v>521</v>
      </c>
      <c r="J365" s="549" t="s">
        <v>521</v>
      </c>
      <c r="K365" s="549" t="s">
        <v>521</v>
      </c>
      <c r="L365" s="549" t="s">
        <v>521</v>
      </c>
      <c r="M365" s="549" t="s">
        <v>521</v>
      </c>
      <c r="N365" s="549" t="s">
        <v>521</v>
      </c>
      <c r="P365" s="18" t="s">
        <v>89</v>
      </c>
    </row>
    <row r="366" spans="3:16" x14ac:dyDescent="0.25">
      <c r="C366" s="300"/>
      <c r="D366" s="857">
        <v>6</v>
      </c>
      <c r="E366" s="549" t="s">
        <v>521</v>
      </c>
      <c r="F366" s="549" t="s">
        <v>521</v>
      </c>
      <c r="G366" s="549" t="s">
        <v>521</v>
      </c>
      <c r="H366" s="549" t="s">
        <v>521</v>
      </c>
      <c r="I366" s="549" t="s">
        <v>521</v>
      </c>
      <c r="J366" s="549" t="s">
        <v>521</v>
      </c>
      <c r="K366" s="549" t="s">
        <v>521</v>
      </c>
      <c r="L366" s="549" t="s">
        <v>521</v>
      </c>
      <c r="M366" s="549" t="s">
        <v>521</v>
      </c>
      <c r="N366" s="549" t="s">
        <v>521</v>
      </c>
      <c r="P366" s="18" t="s">
        <v>89</v>
      </c>
    </row>
    <row r="367" spans="3:16" x14ac:dyDescent="0.25">
      <c r="C367" s="300"/>
      <c r="D367" s="857">
        <v>7</v>
      </c>
      <c r="E367" s="549" t="s">
        <v>521</v>
      </c>
      <c r="F367" s="549" t="s">
        <v>521</v>
      </c>
      <c r="G367" s="549" t="s">
        <v>521</v>
      </c>
      <c r="H367" s="549" t="s">
        <v>521</v>
      </c>
      <c r="I367" s="549" t="s">
        <v>521</v>
      </c>
      <c r="J367" s="549" t="s">
        <v>521</v>
      </c>
      <c r="K367" s="549" t="s">
        <v>521</v>
      </c>
      <c r="L367" s="549" t="s">
        <v>521</v>
      </c>
      <c r="M367" s="549" t="s">
        <v>521</v>
      </c>
      <c r="N367" s="549" t="s">
        <v>521</v>
      </c>
      <c r="P367" s="18" t="s">
        <v>89</v>
      </c>
    </row>
    <row r="368" spans="3:16" x14ac:dyDescent="0.25">
      <c r="C368" s="300"/>
      <c r="D368" s="857">
        <v>8</v>
      </c>
      <c r="E368" s="549" t="s">
        <v>521</v>
      </c>
      <c r="F368" s="549" t="s">
        <v>521</v>
      </c>
      <c r="G368" s="549" t="s">
        <v>521</v>
      </c>
      <c r="H368" s="549" t="s">
        <v>521</v>
      </c>
      <c r="I368" s="549" t="s">
        <v>521</v>
      </c>
      <c r="J368" s="549" t="s">
        <v>521</v>
      </c>
      <c r="K368" s="549" t="s">
        <v>521</v>
      </c>
      <c r="L368" s="549" t="s">
        <v>521</v>
      </c>
      <c r="M368" s="549" t="s">
        <v>521</v>
      </c>
      <c r="N368" s="549" t="s">
        <v>521</v>
      </c>
      <c r="P368" s="18" t="s">
        <v>89</v>
      </c>
    </row>
    <row r="369" spans="3:16" x14ac:dyDescent="0.25">
      <c r="C369" s="300"/>
      <c r="D369" s="857">
        <v>9</v>
      </c>
      <c r="E369" s="549" t="s">
        <v>521</v>
      </c>
      <c r="F369" s="549" t="s">
        <v>521</v>
      </c>
      <c r="G369" s="549" t="s">
        <v>521</v>
      </c>
      <c r="H369" s="549" t="s">
        <v>521</v>
      </c>
      <c r="I369" s="549" t="s">
        <v>521</v>
      </c>
      <c r="J369" s="549" t="s">
        <v>521</v>
      </c>
      <c r="K369" s="549" t="s">
        <v>521</v>
      </c>
      <c r="L369" s="549" t="s">
        <v>521</v>
      </c>
      <c r="M369" s="549" t="s">
        <v>521</v>
      </c>
      <c r="N369" s="549" t="s">
        <v>521</v>
      </c>
      <c r="P369" s="18" t="s">
        <v>89</v>
      </c>
    </row>
    <row r="370" spans="3:16" x14ac:dyDescent="0.25">
      <c r="C370" s="300"/>
      <c r="D370" s="857">
        <v>10</v>
      </c>
      <c r="E370" s="549" t="s">
        <v>521</v>
      </c>
      <c r="F370" s="549" t="s">
        <v>521</v>
      </c>
      <c r="G370" s="549" t="s">
        <v>521</v>
      </c>
      <c r="H370" s="549" t="s">
        <v>521</v>
      </c>
      <c r="I370" s="549" t="s">
        <v>521</v>
      </c>
      <c r="J370" s="549" t="s">
        <v>521</v>
      </c>
      <c r="K370" s="549" t="s">
        <v>521</v>
      </c>
      <c r="L370" s="549" t="s">
        <v>521</v>
      </c>
      <c r="M370" s="549" t="s">
        <v>521</v>
      </c>
      <c r="N370" s="549" t="s">
        <v>521</v>
      </c>
      <c r="P370" s="18" t="s">
        <v>89</v>
      </c>
    </row>
    <row r="371" spans="3:16" x14ac:dyDescent="0.25">
      <c r="C371" s="300"/>
      <c r="D371" s="857">
        <v>11</v>
      </c>
      <c r="E371" s="549" t="s">
        <v>521</v>
      </c>
      <c r="F371" s="549" t="s">
        <v>521</v>
      </c>
      <c r="G371" s="549" t="s">
        <v>521</v>
      </c>
      <c r="H371" s="549" t="s">
        <v>521</v>
      </c>
      <c r="I371" s="549" t="s">
        <v>521</v>
      </c>
      <c r="J371" s="549" t="s">
        <v>521</v>
      </c>
      <c r="K371" s="549" t="s">
        <v>521</v>
      </c>
      <c r="L371" s="549" t="s">
        <v>521</v>
      </c>
      <c r="M371" s="549" t="s">
        <v>521</v>
      </c>
      <c r="N371" s="549" t="s">
        <v>521</v>
      </c>
      <c r="P371" s="18" t="s">
        <v>89</v>
      </c>
    </row>
    <row r="372" spans="3:16" x14ac:dyDescent="0.25">
      <c r="C372" s="300"/>
      <c r="D372" s="857">
        <v>12</v>
      </c>
      <c r="E372" s="549" t="s">
        <v>521</v>
      </c>
      <c r="F372" s="549" t="s">
        <v>521</v>
      </c>
      <c r="G372" s="549" t="s">
        <v>521</v>
      </c>
      <c r="H372" s="549" t="s">
        <v>521</v>
      </c>
      <c r="I372" s="549" t="s">
        <v>521</v>
      </c>
      <c r="J372" s="549" t="s">
        <v>521</v>
      </c>
      <c r="K372" s="549" t="s">
        <v>521</v>
      </c>
      <c r="L372" s="549" t="s">
        <v>521</v>
      </c>
      <c r="M372" s="549" t="s">
        <v>521</v>
      </c>
      <c r="N372" s="549" t="s">
        <v>521</v>
      </c>
      <c r="P372" s="18" t="s">
        <v>89</v>
      </c>
    </row>
    <row r="373" spans="3:16" x14ac:dyDescent="0.25">
      <c r="C373" s="300"/>
      <c r="D373" s="857">
        <v>13</v>
      </c>
      <c r="E373" s="549" t="s">
        <v>521</v>
      </c>
      <c r="F373" s="549" t="s">
        <v>521</v>
      </c>
      <c r="G373" s="549" t="s">
        <v>521</v>
      </c>
      <c r="H373" s="549" t="s">
        <v>521</v>
      </c>
      <c r="I373" s="549" t="s">
        <v>521</v>
      </c>
      <c r="J373" s="549" t="s">
        <v>521</v>
      </c>
      <c r="K373" s="549" t="s">
        <v>521</v>
      </c>
      <c r="L373" s="549" t="s">
        <v>521</v>
      </c>
      <c r="M373" s="549" t="s">
        <v>521</v>
      </c>
      <c r="N373" s="549" t="s">
        <v>521</v>
      </c>
      <c r="P373" s="18" t="s">
        <v>89</v>
      </c>
    </row>
    <row r="374" spans="3:16" x14ac:dyDescent="0.25">
      <c r="C374" s="300"/>
      <c r="D374" s="857">
        <v>14</v>
      </c>
      <c r="E374" s="549" t="s">
        <v>521</v>
      </c>
      <c r="F374" s="549" t="s">
        <v>521</v>
      </c>
      <c r="G374" s="549" t="s">
        <v>521</v>
      </c>
      <c r="H374" s="549" t="s">
        <v>521</v>
      </c>
      <c r="I374" s="549" t="s">
        <v>521</v>
      </c>
      <c r="J374" s="549" t="s">
        <v>521</v>
      </c>
      <c r="K374" s="549" t="s">
        <v>521</v>
      </c>
      <c r="L374" s="549" t="s">
        <v>521</v>
      </c>
      <c r="M374" s="549" t="s">
        <v>521</v>
      </c>
      <c r="N374" s="549" t="s">
        <v>521</v>
      </c>
      <c r="P374" s="18" t="s">
        <v>89</v>
      </c>
    </row>
    <row r="375" spans="3:16" x14ac:dyDescent="0.25">
      <c r="C375" s="300"/>
      <c r="D375" s="857">
        <v>15</v>
      </c>
      <c r="E375" s="549" t="s">
        <v>521</v>
      </c>
      <c r="F375" s="549" t="s">
        <v>521</v>
      </c>
      <c r="G375" s="549" t="s">
        <v>521</v>
      </c>
      <c r="H375" s="549" t="s">
        <v>521</v>
      </c>
      <c r="I375" s="549" t="s">
        <v>521</v>
      </c>
      <c r="J375" s="549" t="s">
        <v>521</v>
      </c>
      <c r="K375" s="549" t="s">
        <v>521</v>
      </c>
      <c r="L375" s="549" t="s">
        <v>521</v>
      </c>
      <c r="M375" s="549" t="s">
        <v>521</v>
      </c>
      <c r="N375" s="549" t="s">
        <v>521</v>
      </c>
      <c r="P375" s="18" t="s">
        <v>89</v>
      </c>
    </row>
    <row r="376" spans="3:16" x14ac:dyDescent="0.25">
      <c r="C376" s="300"/>
      <c r="D376" s="857">
        <v>16</v>
      </c>
      <c r="E376" s="549" t="s">
        <v>521</v>
      </c>
      <c r="F376" s="549" t="s">
        <v>521</v>
      </c>
      <c r="G376" s="549" t="s">
        <v>521</v>
      </c>
      <c r="H376" s="549" t="s">
        <v>521</v>
      </c>
      <c r="I376" s="549" t="s">
        <v>521</v>
      </c>
      <c r="J376" s="549" t="s">
        <v>521</v>
      </c>
      <c r="K376" s="549" t="s">
        <v>521</v>
      </c>
      <c r="L376" s="549" t="s">
        <v>521</v>
      </c>
      <c r="M376" s="549" t="s">
        <v>521</v>
      </c>
      <c r="N376" s="549" t="s">
        <v>521</v>
      </c>
      <c r="P376" s="18" t="s">
        <v>89</v>
      </c>
    </row>
    <row r="377" spans="3:16" x14ac:dyDescent="0.25">
      <c r="C377" s="300"/>
      <c r="D377" s="857">
        <v>17</v>
      </c>
      <c r="E377" s="549" t="s">
        <v>521</v>
      </c>
      <c r="F377" s="549" t="s">
        <v>521</v>
      </c>
      <c r="G377" s="549" t="s">
        <v>521</v>
      </c>
      <c r="H377" s="549" t="s">
        <v>521</v>
      </c>
      <c r="I377" s="549" t="s">
        <v>521</v>
      </c>
      <c r="J377" s="549" t="s">
        <v>521</v>
      </c>
      <c r="K377" s="549" t="s">
        <v>521</v>
      </c>
      <c r="L377" s="549" t="s">
        <v>521</v>
      </c>
      <c r="M377" s="549" t="s">
        <v>521</v>
      </c>
      <c r="N377" s="549" t="s">
        <v>521</v>
      </c>
      <c r="P377" s="18" t="s">
        <v>89</v>
      </c>
    </row>
    <row r="378" spans="3:16" x14ac:dyDescent="0.25">
      <c r="C378" s="300"/>
      <c r="D378" s="857">
        <v>18</v>
      </c>
      <c r="E378" s="549" t="s">
        <v>521</v>
      </c>
      <c r="F378" s="549" t="s">
        <v>521</v>
      </c>
      <c r="G378" s="549" t="s">
        <v>521</v>
      </c>
      <c r="H378" s="549" t="s">
        <v>521</v>
      </c>
      <c r="I378" s="549" t="s">
        <v>521</v>
      </c>
      <c r="J378" s="549" t="s">
        <v>521</v>
      </c>
      <c r="K378" s="549" t="s">
        <v>521</v>
      </c>
      <c r="L378" s="549" t="s">
        <v>521</v>
      </c>
      <c r="M378" s="549" t="s">
        <v>521</v>
      </c>
      <c r="N378" s="549" t="s">
        <v>521</v>
      </c>
      <c r="P378" s="18" t="s">
        <v>89</v>
      </c>
    </row>
    <row r="379" spans="3:16" x14ac:dyDescent="0.25">
      <c r="C379" s="300"/>
      <c r="D379" s="857">
        <v>19</v>
      </c>
      <c r="E379" s="549" t="s">
        <v>521</v>
      </c>
      <c r="F379" s="549" t="s">
        <v>521</v>
      </c>
      <c r="G379" s="549" t="s">
        <v>521</v>
      </c>
      <c r="H379" s="549" t="s">
        <v>521</v>
      </c>
      <c r="I379" s="549" t="s">
        <v>521</v>
      </c>
      <c r="J379" s="549" t="s">
        <v>521</v>
      </c>
      <c r="K379" s="549" t="s">
        <v>521</v>
      </c>
      <c r="L379" s="549" t="s">
        <v>521</v>
      </c>
      <c r="M379" s="549" t="s">
        <v>521</v>
      </c>
      <c r="N379" s="549" t="s">
        <v>521</v>
      </c>
      <c r="P379" s="18" t="s">
        <v>89</v>
      </c>
    </row>
    <row r="380" spans="3:16" x14ac:dyDescent="0.25">
      <c r="C380" s="300"/>
      <c r="D380" s="857">
        <v>20</v>
      </c>
      <c r="E380" s="549" t="s">
        <v>521</v>
      </c>
      <c r="F380" s="549" t="s">
        <v>521</v>
      </c>
      <c r="G380" s="549" t="s">
        <v>521</v>
      </c>
      <c r="H380" s="549" t="s">
        <v>521</v>
      </c>
      <c r="I380" s="549" t="s">
        <v>521</v>
      </c>
      <c r="J380" s="549" t="s">
        <v>521</v>
      </c>
      <c r="K380" s="549" t="s">
        <v>521</v>
      </c>
      <c r="L380" s="549" t="s">
        <v>521</v>
      </c>
      <c r="M380" s="549" t="s">
        <v>521</v>
      </c>
      <c r="N380" s="549" t="s">
        <v>521</v>
      </c>
      <c r="P380" s="18" t="s">
        <v>89</v>
      </c>
    </row>
    <row r="381" spans="3:16" x14ac:dyDescent="0.25">
      <c r="C381" s="300"/>
      <c r="D381" s="857">
        <v>21</v>
      </c>
      <c r="E381" s="549" t="s">
        <v>521</v>
      </c>
      <c r="F381" s="549" t="s">
        <v>521</v>
      </c>
      <c r="G381" s="549" t="s">
        <v>521</v>
      </c>
      <c r="H381" s="549" t="s">
        <v>521</v>
      </c>
      <c r="I381" s="549" t="s">
        <v>521</v>
      </c>
      <c r="J381" s="549" t="s">
        <v>521</v>
      </c>
      <c r="K381" s="549" t="s">
        <v>521</v>
      </c>
      <c r="L381" s="549" t="s">
        <v>521</v>
      </c>
      <c r="M381" s="549" t="s">
        <v>521</v>
      </c>
      <c r="N381" s="549" t="s">
        <v>521</v>
      </c>
      <c r="P381" s="18" t="s">
        <v>89</v>
      </c>
    </row>
    <row r="382" spans="3:16" x14ac:dyDescent="0.25">
      <c r="C382" s="300"/>
      <c r="D382" s="857">
        <v>22</v>
      </c>
      <c r="E382" s="549" t="s">
        <v>521</v>
      </c>
      <c r="F382" s="549" t="s">
        <v>521</v>
      </c>
      <c r="G382" s="549" t="s">
        <v>521</v>
      </c>
      <c r="H382" s="549" t="s">
        <v>521</v>
      </c>
      <c r="I382" s="549" t="s">
        <v>521</v>
      </c>
      <c r="J382" s="549" t="s">
        <v>521</v>
      </c>
      <c r="K382" s="549" t="s">
        <v>521</v>
      </c>
      <c r="L382" s="549" t="s">
        <v>521</v>
      </c>
      <c r="M382" s="549" t="s">
        <v>521</v>
      </c>
      <c r="N382" s="549" t="s">
        <v>521</v>
      </c>
      <c r="P382" s="18" t="s">
        <v>89</v>
      </c>
    </row>
    <row r="383" spans="3:16" x14ac:dyDescent="0.25">
      <c r="C383" s="300"/>
      <c r="D383" s="857">
        <v>23</v>
      </c>
      <c r="E383" s="549" t="s">
        <v>521</v>
      </c>
      <c r="F383" s="549" t="s">
        <v>521</v>
      </c>
      <c r="G383" s="549" t="s">
        <v>521</v>
      </c>
      <c r="H383" s="549" t="s">
        <v>521</v>
      </c>
      <c r="I383" s="549" t="s">
        <v>521</v>
      </c>
      <c r="J383" s="549" t="s">
        <v>521</v>
      </c>
      <c r="K383" s="549" t="s">
        <v>521</v>
      </c>
      <c r="L383" s="549" t="s">
        <v>521</v>
      </c>
      <c r="M383" s="549" t="s">
        <v>521</v>
      </c>
      <c r="N383" s="549" t="s">
        <v>521</v>
      </c>
      <c r="P383" s="18" t="s">
        <v>89</v>
      </c>
    </row>
    <row r="384" spans="3:16" x14ac:dyDescent="0.25">
      <c r="C384" s="300"/>
      <c r="D384" s="857">
        <v>24</v>
      </c>
      <c r="E384" s="549" t="s">
        <v>521</v>
      </c>
      <c r="F384" s="549" t="s">
        <v>521</v>
      </c>
      <c r="G384" s="549" t="s">
        <v>521</v>
      </c>
      <c r="H384" s="549" t="s">
        <v>521</v>
      </c>
      <c r="I384" s="549" t="s">
        <v>521</v>
      </c>
      <c r="J384" s="549" t="s">
        <v>521</v>
      </c>
      <c r="K384" s="549" t="s">
        <v>521</v>
      </c>
      <c r="L384" s="549" t="s">
        <v>521</v>
      </c>
      <c r="M384" s="549" t="s">
        <v>521</v>
      </c>
      <c r="N384" s="549" t="s">
        <v>521</v>
      </c>
      <c r="P384" s="18" t="s">
        <v>89</v>
      </c>
    </row>
    <row r="385" spans="3:16" x14ac:dyDescent="0.25">
      <c r="C385" s="300"/>
      <c r="D385" s="857">
        <v>25</v>
      </c>
      <c r="E385" s="549" t="s">
        <v>521</v>
      </c>
      <c r="F385" s="549" t="s">
        <v>521</v>
      </c>
      <c r="G385" s="549" t="s">
        <v>521</v>
      </c>
      <c r="H385" s="549" t="s">
        <v>521</v>
      </c>
      <c r="I385" s="549" t="s">
        <v>521</v>
      </c>
      <c r="J385" s="549" t="s">
        <v>521</v>
      </c>
      <c r="K385" s="549" t="s">
        <v>521</v>
      </c>
      <c r="L385" s="549" t="s">
        <v>521</v>
      </c>
      <c r="M385" s="549" t="s">
        <v>521</v>
      </c>
      <c r="N385" s="549" t="s">
        <v>521</v>
      </c>
      <c r="P385" s="18" t="s">
        <v>89</v>
      </c>
    </row>
    <row r="386" spans="3:16" x14ac:dyDescent="0.25">
      <c r="C386" s="300"/>
      <c r="D386" s="857">
        <v>26</v>
      </c>
      <c r="E386" s="549" t="s">
        <v>521</v>
      </c>
      <c r="F386" s="549" t="s">
        <v>521</v>
      </c>
      <c r="G386" s="549" t="s">
        <v>521</v>
      </c>
      <c r="H386" s="549" t="s">
        <v>521</v>
      </c>
      <c r="I386" s="549" t="s">
        <v>521</v>
      </c>
      <c r="J386" s="549" t="s">
        <v>521</v>
      </c>
      <c r="K386" s="549" t="s">
        <v>521</v>
      </c>
      <c r="L386" s="549" t="s">
        <v>521</v>
      </c>
      <c r="M386" s="549" t="s">
        <v>521</v>
      </c>
      <c r="N386" s="549" t="s">
        <v>521</v>
      </c>
      <c r="P386" s="18" t="s">
        <v>89</v>
      </c>
    </row>
    <row r="387" spans="3:16" x14ac:dyDescent="0.25">
      <c r="C387" s="300"/>
      <c r="D387" s="857">
        <v>27</v>
      </c>
      <c r="E387" s="549" t="s">
        <v>521</v>
      </c>
      <c r="F387" s="549" t="s">
        <v>521</v>
      </c>
      <c r="G387" s="549" t="s">
        <v>521</v>
      </c>
      <c r="H387" s="549" t="s">
        <v>521</v>
      </c>
      <c r="I387" s="549" t="s">
        <v>521</v>
      </c>
      <c r="J387" s="549" t="s">
        <v>521</v>
      </c>
      <c r="K387" s="549" t="s">
        <v>521</v>
      </c>
      <c r="L387" s="549" t="s">
        <v>521</v>
      </c>
      <c r="M387" s="549" t="s">
        <v>521</v>
      </c>
      <c r="N387" s="549" t="s">
        <v>521</v>
      </c>
      <c r="P387" s="18" t="s">
        <v>89</v>
      </c>
    </row>
    <row r="388" spans="3:16" x14ac:dyDescent="0.25">
      <c r="C388" s="300"/>
      <c r="D388" s="857">
        <v>28</v>
      </c>
      <c r="E388" s="549" t="s">
        <v>521</v>
      </c>
      <c r="F388" s="549" t="s">
        <v>521</v>
      </c>
      <c r="G388" s="549" t="s">
        <v>521</v>
      </c>
      <c r="H388" s="549" t="s">
        <v>521</v>
      </c>
      <c r="I388" s="549" t="s">
        <v>521</v>
      </c>
      <c r="J388" s="549" t="s">
        <v>521</v>
      </c>
      <c r="K388" s="549" t="s">
        <v>521</v>
      </c>
      <c r="L388" s="549" t="s">
        <v>521</v>
      </c>
      <c r="M388" s="549" t="s">
        <v>521</v>
      </c>
      <c r="N388" s="549" t="s">
        <v>521</v>
      </c>
      <c r="P388" s="18" t="s">
        <v>89</v>
      </c>
    </row>
    <row r="389" spans="3:16" x14ac:dyDescent="0.25">
      <c r="C389" s="300"/>
      <c r="D389" s="857">
        <v>29</v>
      </c>
      <c r="E389" s="549" t="s">
        <v>521</v>
      </c>
      <c r="F389" s="549" t="s">
        <v>521</v>
      </c>
      <c r="G389" s="549" t="s">
        <v>521</v>
      </c>
      <c r="H389" s="549" t="s">
        <v>521</v>
      </c>
      <c r="I389" s="549" t="s">
        <v>521</v>
      </c>
      <c r="J389" s="549" t="s">
        <v>521</v>
      </c>
      <c r="K389" s="549" t="s">
        <v>521</v>
      </c>
      <c r="L389" s="549" t="s">
        <v>521</v>
      </c>
      <c r="M389" s="549" t="s">
        <v>521</v>
      </c>
      <c r="N389" s="549" t="s">
        <v>521</v>
      </c>
      <c r="P389" s="18" t="s">
        <v>89</v>
      </c>
    </row>
    <row r="390" spans="3:16" x14ac:dyDescent="0.25">
      <c r="C390" s="300"/>
      <c r="D390" s="857">
        <v>30</v>
      </c>
      <c r="E390" s="549" t="s">
        <v>521</v>
      </c>
      <c r="F390" s="549" t="s">
        <v>521</v>
      </c>
      <c r="G390" s="549" t="s">
        <v>521</v>
      </c>
      <c r="H390" s="549" t="s">
        <v>521</v>
      </c>
      <c r="I390" s="549" t="s">
        <v>521</v>
      </c>
      <c r="J390" s="549" t="s">
        <v>521</v>
      </c>
      <c r="K390" s="549" t="s">
        <v>521</v>
      </c>
      <c r="L390" s="549" t="s">
        <v>521</v>
      </c>
      <c r="M390" s="549" t="s">
        <v>521</v>
      </c>
      <c r="N390" s="549" t="s">
        <v>521</v>
      </c>
      <c r="P390" s="18" t="s">
        <v>89</v>
      </c>
    </row>
    <row r="391" spans="3:16" x14ac:dyDescent="0.25">
      <c r="C391" s="300"/>
      <c r="D391" s="857">
        <v>31</v>
      </c>
      <c r="E391" s="549" t="s">
        <v>521</v>
      </c>
      <c r="F391" s="549" t="s">
        <v>521</v>
      </c>
      <c r="G391" s="549" t="s">
        <v>521</v>
      </c>
      <c r="H391" s="549" t="s">
        <v>521</v>
      </c>
      <c r="I391" s="549" t="s">
        <v>521</v>
      </c>
      <c r="J391" s="549" t="s">
        <v>521</v>
      </c>
      <c r="K391" s="549" t="s">
        <v>521</v>
      </c>
      <c r="L391" s="549" t="s">
        <v>521</v>
      </c>
      <c r="M391" s="549" t="s">
        <v>521</v>
      </c>
      <c r="N391" s="549" t="s">
        <v>521</v>
      </c>
      <c r="P391" s="18" t="s">
        <v>89</v>
      </c>
    </row>
    <row r="392" spans="3:16" x14ac:dyDescent="0.25">
      <c r="C392" s="300"/>
      <c r="D392" s="857">
        <v>32</v>
      </c>
      <c r="E392" s="549" t="s">
        <v>521</v>
      </c>
      <c r="F392" s="549" t="s">
        <v>521</v>
      </c>
      <c r="G392" s="549" t="s">
        <v>521</v>
      </c>
      <c r="H392" s="549" t="s">
        <v>521</v>
      </c>
      <c r="I392" s="549" t="s">
        <v>521</v>
      </c>
      <c r="J392" s="549" t="s">
        <v>521</v>
      </c>
      <c r="K392" s="549" t="s">
        <v>521</v>
      </c>
      <c r="L392" s="549" t="s">
        <v>521</v>
      </c>
      <c r="M392" s="549" t="s">
        <v>521</v>
      </c>
      <c r="N392" s="549" t="s">
        <v>521</v>
      </c>
      <c r="P392" s="18" t="s">
        <v>89</v>
      </c>
    </row>
    <row r="393" spans="3:16" x14ac:dyDescent="0.25">
      <c r="C393" s="300"/>
      <c r="D393" s="857">
        <v>33</v>
      </c>
      <c r="E393" s="549" t="s">
        <v>521</v>
      </c>
      <c r="F393" s="549" t="s">
        <v>521</v>
      </c>
      <c r="G393" s="549" t="s">
        <v>521</v>
      </c>
      <c r="H393" s="549" t="s">
        <v>521</v>
      </c>
      <c r="I393" s="549" t="s">
        <v>521</v>
      </c>
      <c r="J393" s="549" t="s">
        <v>521</v>
      </c>
      <c r="K393" s="549" t="s">
        <v>521</v>
      </c>
      <c r="L393" s="549" t="s">
        <v>521</v>
      </c>
      <c r="M393" s="549" t="s">
        <v>521</v>
      </c>
      <c r="N393" s="549" t="s">
        <v>521</v>
      </c>
      <c r="P393" s="18" t="s">
        <v>89</v>
      </c>
    </row>
    <row r="394" spans="3:16" x14ac:dyDescent="0.25">
      <c r="C394" s="300"/>
      <c r="D394" s="857">
        <v>34</v>
      </c>
      <c r="E394" s="549" t="s">
        <v>521</v>
      </c>
      <c r="F394" s="549" t="s">
        <v>521</v>
      </c>
      <c r="G394" s="549" t="s">
        <v>521</v>
      </c>
      <c r="H394" s="549" t="s">
        <v>521</v>
      </c>
      <c r="I394" s="549" t="s">
        <v>521</v>
      </c>
      <c r="J394" s="549" t="s">
        <v>521</v>
      </c>
      <c r="K394" s="549" t="s">
        <v>521</v>
      </c>
      <c r="L394" s="549" t="s">
        <v>521</v>
      </c>
      <c r="M394" s="549" t="s">
        <v>521</v>
      </c>
      <c r="N394" s="549" t="s">
        <v>521</v>
      </c>
      <c r="P394" s="18" t="s">
        <v>89</v>
      </c>
    </row>
    <row r="395" spans="3:16" x14ac:dyDescent="0.25">
      <c r="C395" s="300"/>
      <c r="D395" s="857">
        <v>35</v>
      </c>
      <c r="E395" s="549" t="s">
        <v>521</v>
      </c>
      <c r="F395" s="549" t="s">
        <v>521</v>
      </c>
      <c r="G395" s="549" t="s">
        <v>521</v>
      </c>
      <c r="H395" s="549" t="s">
        <v>521</v>
      </c>
      <c r="I395" s="549" t="s">
        <v>521</v>
      </c>
      <c r="J395" s="549" t="s">
        <v>521</v>
      </c>
      <c r="K395" s="549" t="s">
        <v>521</v>
      </c>
      <c r="L395" s="549" t="s">
        <v>521</v>
      </c>
      <c r="M395" s="549" t="s">
        <v>521</v>
      </c>
      <c r="N395" s="549" t="s">
        <v>521</v>
      </c>
      <c r="P395" s="18" t="s">
        <v>89</v>
      </c>
    </row>
    <row r="396" spans="3:16" x14ac:dyDescent="0.25">
      <c r="C396" s="300"/>
      <c r="D396" s="857">
        <v>36</v>
      </c>
      <c r="E396" s="549" t="s">
        <v>521</v>
      </c>
      <c r="F396" s="549" t="s">
        <v>521</v>
      </c>
      <c r="G396" s="549" t="s">
        <v>521</v>
      </c>
      <c r="H396" s="549" t="s">
        <v>521</v>
      </c>
      <c r="I396" s="549" t="s">
        <v>521</v>
      </c>
      <c r="J396" s="549" t="s">
        <v>521</v>
      </c>
      <c r="K396" s="549" t="s">
        <v>521</v>
      </c>
      <c r="L396" s="549" t="s">
        <v>521</v>
      </c>
      <c r="M396" s="549" t="s">
        <v>521</v>
      </c>
      <c r="N396" s="549" t="s">
        <v>521</v>
      </c>
      <c r="P396" s="18" t="s">
        <v>89</v>
      </c>
    </row>
    <row r="397" spans="3:16" x14ac:dyDescent="0.25">
      <c r="C397" s="300"/>
      <c r="D397" s="857">
        <v>37</v>
      </c>
      <c r="E397" s="549" t="s">
        <v>521</v>
      </c>
      <c r="F397" s="549" t="s">
        <v>521</v>
      </c>
      <c r="G397" s="549" t="s">
        <v>521</v>
      </c>
      <c r="H397" s="549" t="s">
        <v>521</v>
      </c>
      <c r="I397" s="549" t="s">
        <v>521</v>
      </c>
      <c r="J397" s="549" t="s">
        <v>521</v>
      </c>
      <c r="K397" s="549" t="s">
        <v>521</v>
      </c>
      <c r="L397" s="549" t="s">
        <v>521</v>
      </c>
      <c r="M397" s="549" t="s">
        <v>521</v>
      </c>
      <c r="N397" s="549" t="s">
        <v>521</v>
      </c>
      <c r="P397" s="18" t="s">
        <v>89</v>
      </c>
    </row>
    <row r="398" spans="3:16" x14ac:dyDescent="0.25">
      <c r="C398" s="300"/>
      <c r="D398" s="857">
        <v>38</v>
      </c>
      <c r="E398" s="549" t="s">
        <v>521</v>
      </c>
      <c r="F398" s="549" t="s">
        <v>521</v>
      </c>
      <c r="G398" s="549" t="s">
        <v>521</v>
      </c>
      <c r="H398" s="549" t="s">
        <v>521</v>
      </c>
      <c r="I398" s="549" t="s">
        <v>521</v>
      </c>
      <c r="J398" s="549" t="s">
        <v>521</v>
      </c>
      <c r="K398" s="549" t="s">
        <v>521</v>
      </c>
      <c r="L398" s="549" t="s">
        <v>521</v>
      </c>
      <c r="M398" s="549" t="s">
        <v>521</v>
      </c>
      <c r="N398" s="549" t="s">
        <v>521</v>
      </c>
      <c r="P398" s="18" t="s">
        <v>89</v>
      </c>
    </row>
    <row r="399" spans="3:16" x14ac:dyDescent="0.25">
      <c r="C399" s="300"/>
      <c r="D399" s="857">
        <v>39</v>
      </c>
      <c r="E399" s="549" t="s">
        <v>521</v>
      </c>
      <c r="F399" s="549" t="s">
        <v>521</v>
      </c>
      <c r="G399" s="549" t="s">
        <v>521</v>
      </c>
      <c r="H399" s="549" t="s">
        <v>521</v>
      </c>
      <c r="I399" s="549" t="s">
        <v>521</v>
      </c>
      <c r="J399" s="549" t="s">
        <v>521</v>
      </c>
      <c r="K399" s="549" t="s">
        <v>521</v>
      </c>
      <c r="L399" s="549" t="s">
        <v>521</v>
      </c>
      <c r="M399" s="549" t="s">
        <v>521</v>
      </c>
      <c r="N399" s="549" t="s">
        <v>521</v>
      </c>
      <c r="P399" s="18" t="s">
        <v>89</v>
      </c>
    </row>
    <row r="400" spans="3:16" x14ac:dyDescent="0.25">
      <c r="C400" s="300"/>
      <c r="D400" s="857">
        <v>40</v>
      </c>
      <c r="E400" s="549" t="s">
        <v>521</v>
      </c>
      <c r="F400" s="549" t="s">
        <v>521</v>
      </c>
      <c r="G400" s="549" t="s">
        <v>521</v>
      </c>
      <c r="H400" s="549" t="s">
        <v>521</v>
      </c>
      <c r="I400" s="549" t="s">
        <v>521</v>
      </c>
      <c r="J400" s="549" t="s">
        <v>521</v>
      </c>
      <c r="K400" s="549" t="s">
        <v>521</v>
      </c>
      <c r="L400" s="549" t="s">
        <v>521</v>
      </c>
      <c r="M400" s="549" t="s">
        <v>521</v>
      </c>
      <c r="N400" s="549" t="s">
        <v>521</v>
      </c>
      <c r="P400" s="18" t="s">
        <v>89</v>
      </c>
    </row>
    <row r="401" spans="3:16" x14ac:dyDescent="0.25">
      <c r="C401" s="300"/>
      <c r="D401" s="857">
        <v>41</v>
      </c>
      <c r="E401" s="549" t="s">
        <v>521</v>
      </c>
      <c r="F401" s="549" t="s">
        <v>521</v>
      </c>
      <c r="G401" s="549" t="s">
        <v>521</v>
      </c>
      <c r="H401" s="549" t="s">
        <v>521</v>
      </c>
      <c r="I401" s="549" t="s">
        <v>521</v>
      </c>
      <c r="J401" s="549" t="s">
        <v>521</v>
      </c>
      <c r="K401" s="549" t="s">
        <v>521</v>
      </c>
      <c r="L401" s="549" t="s">
        <v>521</v>
      </c>
      <c r="M401" s="549" t="s">
        <v>521</v>
      </c>
      <c r="N401" s="549" t="s">
        <v>521</v>
      </c>
      <c r="P401" s="18" t="s">
        <v>89</v>
      </c>
    </row>
    <row r="402" spans="3:16" x14ac:dyDescent="0.25">
      <c r="C402" s="300"/>
      <c r="D402" s="857">
        <v>42</v>
      </c>
      <c r="E402" s="549" t="s">
        <v>521</v>
      </c>
      <c r="F402" s="549" t="s">
        <v>521</v>
      </c>
      <c r="G402" s="549" t="s">
        <v>521</v>
      </c>
      <c r="H402" s="549" t="s">
        <v>521</v>
      </c>
      <c r="I402" s="549" t="s">
        <v>521</v>
      </c>
      <c r="J402" s="549" t="s">
        <v>521</v>
      </c>
      <c r="K402" s="549" t="s">
        <v>521</v>
      </c>
      <c r="L402" s="549" t="s">
        <v>521</v>
      </c>
      <c r="M402" s="549" t="s">
        <v>521</v>
      </c>
      <c r="N402" s="549" t="s">
        <v>521</v>
      </c>
      <c r="P402" s="18" t="s">
        <v>89</v>
      </c>
    </row>
    <row r="403" spans="3:16" x14ac:dyDescent="0.25">
      <c r="C403" s="300"/>
      <c r="D403" s="857">
        <v>43</v>
      </c>
      <c r="E403" s="549" t="s">
        <v>521</v>
      </c>
      <c r="F403" s="549" t="s">
        <v>521</v>
      </c>
      <c r="G403" s="549" t="s">
        <v>521</v>
      </c>
      <c r="H403" s="549" t="s">
        <v>521</v>
      </c>
      <c r="I403" s="549" t="s">
        <v>521</v>
      </c>
      <c r="J403" s="549" t="s">
        <v>521</v>
      </c>
      <c r="K403" s="549" t="s">
        <v>521</v>
      </c>
      <c r="L403" s="549" t="s">
        <v>521</v>
      </c>
      <c r="M403" s="549" t="s">
        <v>521</v>
      </c>
      <c r="N403" s="549" t="s">
        <v>521</v>
      </c>
      <c r="P403" s="18" t="s">
        <v>89</v>
      </c>
    </row>
    <row r="404" spans="3:16" x14ac:dyDescent="0.25">
      <c r="C404" s="300"/>
      <c r="D404" s="857">
        <v>44</v>
      </c>
      <c r="E404" s="549" t="s">
        <v>521</v>
      </c>
      <c r="F404" s="549" t="s">
        <v>521</v>
      </c>
      <c r="G404" s="549" t="s">
        <v>521</v>
      </c>
      <c r="H404" s="549" t="s">
        <v>521</v>
      </c>
      <c r="I404" s="549" t="s">
        <v>521</v>
      </c>
      <c r="J404" s="549" t="s">
        <v>521</v>
      </c>
      <c r="K404" s="549" t="s">
        <v>521</v>
      </c>
      <c r="L404" s="549" t="s">
        <v>521</v>
      </c>
      <c r="M404" s="549" t="s">
        <v>521</v>
      </c>
      <c r="N404" s="549" t="s">
        <v>521</v>
      </c>
      <c r="P404" s="18" t="s">
        <v>89</v>
      </c>
    </row>
    <row r="405" spans="3:16" x14ac:dyDescent="0.25">
      <c r="C405" s="300"/>
      <c r="D405" s="857">
        <v>45</v>
      </c>
      <c r="E405" s="549" t="s">
        <v>521</v>
      </c>
      <c r="F405" s="549" t="s">
        <v>521</v>
      </c>
      <c r="G405" s="549" t="s">
        <v>521</v>
      </c>
      <c r="H405" s="549" t="s">
        <v>521</v>
      </c>
      <c r="I405" s="549" t="s">
        <v>521</v>
      </c>
      <c r="J405" s="549" t="s">
        <v>521</v>
      </c>
      <c r="K405" s="549" t="s">
        <v>521</v>
      </c>
      <c r="L405" s="549" t="s">
        <v>521</v>
      </c>
      <c r="M405" s="549" t="s">
        <v>521</v>
      </c>
      <c r="N405" s="549" t="s">
        <v>521</v>
      </c>
      <c r="P405" s="18" t="s">
        <v>89</v>
      </c>
    </row>
    <row r="406" spans="3:16" x14ac:dyDescent="0.25">
      <c r="C406" s="300"/>
      <c r="D406" s="857">
        <v>46</v>
      </c>
      <c r="E406" s="549" t="s">
        <v>521</v>
      </c>
      <c r="F406" s="549" t="s">
        <v>521</v>
      </c>
      <c r="G406" s="549" t="s">
        <v>521</v>
      </c>
      <c r="H406" s="549" t="s">
        <v>521</v>
      </c>
      <c r="I406" s="549" t="s">
        <v>521</v>
      </c>
      <c r="J406" s="549" t="s">
        <v>521</v>
      </c>
      <c r="K406" s="549" t="s">
        <v>521</v>
      </c>
      <c r="L406" s="549" t="s">
        <v>521</v>
      </c>
      <c r="M406" s="549" t="s">
        <v>521</v>
      </c>
      <c r="N406" s="549" t="s">
        <v>521</v>
      </c>
      <c r="P406" s="18" t="s">
        <v>89</v>
      </c>
    </row>
    <row r="407" spans="3:16" x14ac:dyDescent="0.25">
      <c r="C407" s="300"/>
      <c r="D407" s="857">
        <v>47</v>
      </c>
      <c r="E407" s="549" t="s">
        <v>521</v>
      </c>
      <c r="F407" s="549" t="s">
        <v>521</v>
      </c>
      <c r="G407" s="549" t="s">
        <v>521</v>
      </c>
      <c r="H407" s="549" t="s">
        <v>521</v>
      </c>
      <c r="I407" s="549" t="s">
        <v>521</v>
      </c>
      <c r="J407" s="549" t="s">
        <v>521</v>
      </c>
      <c r="K407" s="549" t="s">
        <v>521</v>
      </c>
      <c r="L407" s="549" t="s">
        <v>521</v>
      </c>
      <c r="M407" s="549" t="s">
        <v>521</v>
      </c>
      <c r="N407" s="549" t="s">
        <v>521</v>
      </c>
      <c r="P407" s="18" t="s">
        <v>89</v>
      </c>
    </row>
    <row r="408" spans="3:16" x14ac:dyDescent="0.25">
      <c r="C408" s="300"/>
      <c r="D408" s="857">
        <v>48</v>
      </c>
      <c r="E408" s="549" t="s">
        <v>521</v>
      </c>
      <c r="F408" s="549" t="s">
        <v>521</v>
      </c>
      <c r="G408" s="549" t="s">
        <v>521</v>
      </c>
      <c r="H408" s="549" t="s">
        <v>521</v>
      </c>
      <c r="I408" s="549" t="s">
        <v>521</v>
      </c>
      <c r="J408" s="549" t="s">
        <v>521</v>
      </c>
      <c r="K408" s="549" t="s">
        <v>521</v>
      </c>
      <c r="L408" s="549" t="s">
        <v>521</v>
      </c>
      <c r="M408" s="549" t="s">
        <v>521</v>
      </c>
      <c r="N408" s="549" t="s">
        <v>521</v>
      </c>
      <c r="P408" s="18" t="s">
        <v>89</v>
      </c>
    </row>
    <row r="409" spans="3:16" x14ac:dyDescent="0.25">
      <c r="C409" s="300"/>
      <c r="D409" s="857">
        <v>49</v>
      </c>
      <c r="E409" s="549" t="s">
        <v>521</v>
      </c>
      <c r="F409" s="549" t="s">
        <v>521</v>
      </c>
      <c r="G409" s="549" t="s">
        <v>521</v>
      </c>
      <c r="H409" s="549" t="s">
        <v>521</v>
      </c>
      <c r="I409" s="549" t="s">
        <v>521</v>
      </c>
      <c r="J409" s="549" t="s">
        <v>521</v>
      </c>
      <c r="K409" s="549" t="s">
        <v>521</v>
      </c>
      <c r="L409" s="549" t="s">
        <v>521</v>
      </c>
      <c r="M409" s="549" t="s">
        <v>521</v>
      </c>
      <c r="N409" s="549" t="s">
        <v>521</v>
      </c>
      <c r="P409" s="18" t="s">
        <v>89</v>
      </c>
    </row>
    <row r="410" spans="3:16" x14ac:dyDescent="0.25">
      <c r="C410" s="300"/>
      <c r="D410" s="857">
        <v>50</v>
      </c>
      <c r="E410" s="549" t="s">
        <v>521</v>
      </c>
      <c r="F410" s="549" t="s">
        <v>521</v>
      </c>
      <c r="G410" s="549" t="s">
        <v>521</v>
      </c>
      <c r="H410" s="549" t="s">
        <v>521</v>
      </c>
      <c r="I410" s="549" t="s">
        <v>521</v>
      </c>
      <c r="J410" s="549" t="s">
        <v>521</v>
      </c>
      <c r="K410" s="549" t="s">
        <v>521</v>
      </c>
      <c r="L410" s="549" t="s">
        <v>521</v>
      </c>
      <c r="M410" s="549" t="s">
        <v>521</v>
      </c>
      <c r="N410" s="549" t="s">
        <v>521</v>
      </c>
      <c r="P410" s="18" t="s">
        <v>89</v>
      </c>
    </row>
    <row r="411" spans="3:16" x14ac:dyDescent="0.25">
      <c r="C411" s="300"/>
      <c r="D411" s="857">
        <v>51</v>
      </c>
      <c r="E411" s="549" t="s">
        <v>521</v>
      </c>
      <c r="F411" s="549" t="s">
        <v>521</v>
      </c>
      <c r="G411" s="549" t="s">
        <v>521</v>
      </c>
      <c r="H411" s="549" t="s">
        <v>521</v>
      </c>
      <c r="I411" s="549" t="s">
        <v>521</v>
      </c>
      <c r="J411" s="549" t="s">
        <v>521</v>
      </c>
      <c r="K411" s="549" t="s">
        <v>521</v>
      </c>
      <c r="L411" s="549" t="s">
        <v>521</v>
      </c>
      <c r="M411" s="549" t="s">
        <v>521</v>
      </c>
      <c r="N411" s="549" t="s">
        <v>521</v>
      </c>
      <c r="P411" s="18" t="s">
        <v>89</v>
      </c>
    </row>
    <row r="412" spans="3:16" x14ac:dyDescent="0.25">
      <c r="C412" s="300"/>
      <c r="D412" s="857">
        <v>52</v>
      </c>
      <c r="E412" s="549" t="s">
        <v>521</v>
      </c>
      <c r="F412" s="549" t="s">
        <v>521</v>
      </c>
      <c r="G412" s="549" t="s">
        <v>521</v>
      </c>
      <c r="H412" s="549" t="s">
        <v>521</v>
      </c>
      <c r="I412" s="549" t="s">
        <v>521</v>
      </c>
      <c r="J412" s="549" t="s">
        <v>521</v>
      </c>
      <c r="K412" s="549" t="s">
        <v>521</v>
      </c>
      <c r="L412" s="549" t="s">
        <v>521</v>
      </c>
      <c r="M412" s="549" t="s">
        <v>521</v>
      </c>
      <c r="N412" s="549" t="s">
        <v>521</v>
      </c>
      <c r="P412" s="18" t="s">
        <v>89</v>
      </c>
    </row>
    <row r="413" spans="3:16" x14ac:dyDescent="0.25">
      <c r="C413" s="300"/>
      <c r="D413" s="857">
        <v>53</v>
      </c>
      <c r="E413" s="549" t="s">
        <v>521</v>
      </c>
      <c r="F413" s="549" t="s">
        <v>521</v>
      </c>
      <c r="G413" s="549" t="s">
        <v>521</v>
      </c>
      <c r="H413" s="549" t="s">
        <v>521</v>
      </c>
      <c r="I413" s="549" t="s">
        <v>521</v>
      </c>
      <c r="J413" s="549" t="s">
        <v>521</v>
      </c>
      <c r="K413" s="549" t="s">
        <v>521</v>
      </c>
      <c r="L413" s="549" t="s">
        <v>521</v>
      </c>
      <c r="M413" s="549" t="s">
        <v>521</v>
      </c>
      <c r="N413" s="549" t="s">
        <v>521</v>
      </c>
      <c r="P413" s="18" t="s">
        <v>89</v>
      </c>
    </row>
    <row r="414" spans="3:16" x14ac:dyDescent="0.25">
      <c r="C414" s="300"/>
      <c r="D414" s="857">
        <v>54</v>
      </c>
      <c r="E414" s="549" t="s">
        <v>521</v>
      </c>
      <c r="F414" s="549" t="s">
        <v>521</v>
      </c>
      <c r="G414" s="549" t="s">
        <v>521</v>
      </c>
      <c r="H414" s="549" t="s">
        <v>521</v>
      </c>
      <c r="I414" s="549" t="s">
        <v>521</v>
      </c>
      <c r="J414" s="549" t="s">
        <v>521</v>
      </c>
      <c r="K414" s="549" t="s">
        <v>521</v>
      </c>
      <c r="L414" s="549" t="s">
        <v>521</v>
      </c>
      <c r="M414" s="549" t="s">
        <v>521</v>
      </c>
      <c r="N414" s="549" t="s">
        <v>521</v>
      </c>
      <c r="P414" s="18" t="s">
        <v>89</v>
      </c>
    </row>
    <row r="415" spans="3:16" x14ac:dyDescent="0.25">
      <c r="C415" s="300"/>
      <c r="D415" s="857">
        <v>55</v>
      </c>
      <c r="E415" s="549" t="s">
        <v>521</v>
      </c>
      <c r="F415" s="549" t="s">
        <v>521</v>
      </c>
      <c r="G415" s="549" t="s">
        <v>521</v>
      </c>
      <c r="H415" s="549" t="s">
        <v>521</v>
      </c>
      <c r="I415" s="549" t="s">
        <v>521</v>
      </c>
      <c r="J415" s="549" t="s">
        <v>521</v>
      </c>
      <c r="K415" s="549" t="s">
        <v>521</v>
      </c>
      <c r="L415" s="549" t="s">
        <v>521</v>
      </c>
      <c r="M415" s="549" t="s">
        <v>521</v>
      </c>
      <c r="N415" s="549" t="s">
        <v>521</v>
      </c>
      <c r="P415" s="18" t="s">
        <v>89</v>
      </c>
    </row>
    <row r="416" spans="3:16" x14ac:dyDescent="0.25">
      <c r="C416" s="300"/>
      <c r="D416" s="857">
        <v>56</v>
      </c>
      <c r="E416" s="549" t="s">
        <v>521</v>
      </c>
      <c r="F416" s="549" t="s">
        <v>521</v>
      </c>
      <c r="G416" s="549" t="s">
        <v>521</v>
      </c>
      <c r="H416" s="549" t="s">
        <v>521</v>
      </c>
      <c r="I416" s="549" t="s">
        <v>521</v>
      </c>
      <c r="J416" s="549" t="s">
        <v>521</v>
      </c>
      <c r="K416" s="549" t="s">
        <v>521</v>
      </c>
      <c r="L416" s="549" t="s">
        <v>521</v>
      </c>
      <c r="M416" s="549" t="s">
        <v>521</v>
      </c>
      <c r="N416" s="549" t="s">
        <v>521</v>
      </c>
      <c r="P416" s="18" t="s">
        <v>89</v>
      </c>
    </row>
    <row r="417" spans="3:16" x14ac:dyDescent="0.25">
      <c r="C417" s="300"/>
      <c r="D417" s="857">
        <v>57</v>
      </c>
      <c r="E417" s="549" t="s">
        <v>521</v>
      </c>
      <c r="F417" s="549" t="s">
        <v>521</v>
      </c>
      <c r="G417" s="549" t="s">
        <v>521</v>
      </c>
      <c r="H417" s="549" t="s">
        <v>521</v>
      </c>
      <c r="I417" s="549" t="s">
        <v>521</v>
      </c>
      <c r="J417" s="549" t="s">
        <v>521</v>
      </c>
      <c r="K417" s="549" t="s">
        <v>521</v>
      </c>
      <c r="L417" s="549" t="s">
        <v>521</v>
      </c>
      <c r="M417" s="549" t="s">
        <v>521</v>
      </c>
      <c r="N417" s="549" t="s">
        <v>521</v>
      </c>
      <c r="P417" s="18" t="s">
        <v>89</v>
      </c>
    </row>
    <row r="418" spans="3:16" x14ac:dyDescent="0.25">
      <c r="C418" s="300"/>
      <c r="D418" s="857">
        <v>58</v>
      </c>
      <c r="E418" s="549" t="s">
        <v>521</v>
      </c>
      <c r="F418" s="549" t="s">
        <v>521</v>
      </c>
      <c r="G418" s="549" t="s">
        <v>521</v>
      </c>
      <c r="H418" s="549" t="s">
        <v>521</v>
      </c>
      <c r="I418" s="549" t="s">
        <v>521</v>
      </c>
      <c r="J418" s="549" t="s">
        <v>521</v>
      </c>
      <c r="K418" s="549" t="s">
        <v>521</v>
      </c>
      <c r="L418" s="549" t="s">
        <v>521</v>
      </c>
      <c r="M418" s="549" t="s">
        <v>521</v>
      </c>
      <c r="N418" s="549" t="s">
        <v>521</v>
      </c>
      <c r="P418" s="18" t="s">
        <v>89</v>
      </c>
    </row>
    <row r="419" spans="3:16" x14ac:dyDescent="0.25">
      <c r="C419" s="300"/>
      <c r="D419" s="857">
        <v>59</v>
      </c>
      <c r="E419" s="549" t="s">
        <v>521</v>
      </c>
      <c r="F419" s="549" t="s">
        <v>521</v>
      </c>
      <c r="G419" s="549" t="s">
        <v>521</v>
      </c>
      <c r="H419" s="549" t="s">
        <v>521</v>
      </c>
      <c r="I419" s="549" t="s">
        <v>521</v>
      </c>
      <c r="J419" s="549" t="s">
        <v>521</v>
      </c>
      <c r="K419" s="549" t="s">
        <v>521</v>
      </c>
      <c r="L419" s="549" t="s">
        <v>521</v>
      </c>
      <c r="M419" s="549" t="s">
        <v>521</v>
      </c>
      <c r="N419" s="549" t="s">
        <v>521</v>
      </c>
      <c r="P419" s="18" t="s">
        <v>89</v>
      </c>
    </row>
    <row r="420" spans="3:16" x14ac:dyDescent="0.25">
      <c r="C420" s="300"/>
      <c r="D420" s="857">
        <v>60</v>
      </c>
      <c r="E420" s="549" t="s">
        <v>521</v>
      </c>
      <c r="F420" s="549" t="s">
        <v>521</v>
      </c>
      <c r="G420" s="549" t="s">
        <v>521</v>
      </c>
      <c r="H420" s="549" t="s">
        <v>521</v>
      </c>
      <c r="I420" s="549" t="s">
        <v>521</v>
      </c>
      <c r="J420" s="549" t="s">
        <v>521</v>
      </c>
      <c r="K420" s="549" t="s">
        <v>521</v>
      </c>
      <c r="L420" s="549" t="s">
        <v>521</v>
      </c>
      <c r="M420" s="549" t="s">
        <v>521</v>
      </c>
      <c r="N420" s="549" t="s">
        <v>521</v>
      </c>
      <c r="P420" s="18" t="s">
        <v>89</v>
      </c>
    </row>
    <row r="421" spans="3:16" x14ac:dyDescent="0.25">
      <c r="C421" s="300"/>
      <c r="D421" s="857">
        <v>61</v>
      </c>
      <c r="E421" s="549" t="s">
        <v>521</v>
      </c>
      <c r="F421" s="549" t="s">
        <v>521</v>
      </c>
      <c r="G421" s="549" t="s">
        <v>521</v>
      </c>
      <c r="H421" s="549" t="s">
        <v>521</v>
      </c>
      <c r="I421" s="549" t="s">
        <v>521</v>
      </c>
      <c r="J421" s="549" t="s">
        <v>521</v>
      </c>
      <c r="K421" s="549" t="s">
        <v>521</v>
      </c>
      <c r="L421" s="549" t="s">
        <v>521</v>
      </c>
      <c r="M421" s="549" t="s">
        <v>521</v>
      </c>
      <c r="N421" s="549" t="s">
        <v>521</v>
      </c>
      <c r="P421" s="18" t="s">
        <v>89</v>
      </c>
    </row>
    <row r="422" spans="3:16" x14ac:dyDescent="0.25">
      <c r="C422" s="300"/>
      <c r="D422" s="857">
        <v>62</v>
      </c>
      <c r="E422" s="549" t="s">
        <v>521</v>
      </c>
      <c r="F422" s="549" t="s">
        <v>521</v>
      </c>
      <c r="G422" s="549" t="s">
        <v>521</v>
      </c>
      <c r="H422" s="549" t="s">
        <v>521</v>
      </c>
      <c r="I422" s="549" t="s">
        <v>521</v>
      </c>
      <c r="J422" s="549" t="s">
        <v>521</v>
      </c>
      <c r="K422" s="549" t="s">
        <v>521</v>
      </c>
      <c r="L422" s="549" t="s">
        <v>521</v>
      </c>
      <c r="M422" s="549" t="s">
        <v>521</v>
      </c>
      <c r="N422" s="549" t="s">
        <v>521</v>
      </c>
      <c r="P422" s="18" t="s">
        <v>89</v>
      </c>
    </row>
    <row r="423" spans="3:16" x14ac:dyDescent="0.25">
      <c r="C423" s="300"/>
      <c r="D423" s="857">
        <v>63</v>
      </c>
      <c r="E423" s="549" t="s">
        <v>521</v>
      </c>
      <c r="F423" s="549" t="s">
        <v>521</v>
      </c>
      <c r="G423" s="549" t="s">
        <v>521</v>
      </c>
      <c r="H423" s="549" t="s">
        <v>521</v>
      </c>
      <c r="I423" s="549" t="s">
        <v>521</v>
      </c>
      <c r="J423" s="549" t="s">
        <v>521</v>
      </c>
      <c r="K423" s="549" t="s">
        <v>521</v>
      </c>
      <c r="L423" s="549" t="s">
        <v>521</v>
      </c>
      <c r="M423" s="549" t="s">
        <v>521</v>
      </c>
      <c r="N423" s="549" t="s">
        <v>521</v>
      </c>
      <c r="P423" s="18" t="s">
        <v>89</v>
      </c>
    </row>
    <row r="424" spans="3:16" x14ac:dyDescent="0.25">
      <c r="C424" s="300"/>
      <c r="D424" s="857">
        <v>64</v>
      </c>
      <c r="E424" s="549" t="s">
        <v>521</v>
      </c>
      <c r="F424" s="549" t="s">
        <v>521</v>
      </c>
      <c r="G424" s="549" t="s">
        <v>521</v>
      </c>
      <c r="H424" s="549" t="s">
        <v>521</v>
      </c>
      <c r="I424" s="549" t="s">
        <v>521</v>
      </c>
      <c r="J424" s="549" t="s">
        <v>521</v>
      </c>
      <c r="K424" s="549" t="s">
        <v>521</v>
      </c>
      <c r="L424" s="549" t="s">
        <v>521</v>
      </c>
      <c r="M424" s="549" t="s">
        <v>521</v>
      </c>
      <c r="N424" s="549" t="s">
        <v>521</v>
      </c>
      <c r="P424" s="18" t="s">
        <v>89</v>
      </c>
    </row>
    <row r="425" spans="3:16" x14ac:dyDescent="0.25">
      <c r="C425" s="300"/>
      <c r="D425" s="857">
        <v>65</v>
      </c>
      <c r="E425" s="549" t="s">
        <v>521</v>
      </c>
      <c r="F425" s="549" t="s">
        <v>521</v>
      </c>
      <c r="G425" s="549" t="s">
        <v>521</v>
      </c>
      <c r="H425" s="549" t="s">
        <v>521</v>
      </c>
      <c r="I425" s="549" t="s">
        <v>521</v>
      </c>
      <c r="J425" s="549" t="s">
        <v>521</v>
      </c>
      <c r="K425" s="549" t="s">
        <v>521</v>
      </c>
      <c r="L425" s="549" t="s">
        <v>521</v>
      </c>
      <c r="M425" s="549" t="s">
        <v>521</v>
      </c>
      <c r="N425" s="549" t="s">
        <v>521</v>
      </c>
      <c r="P425" s="18" t="s">
        <v>89</v>
      </c>
    </row>
    <row r="426" spans="3:16" x14ac:dyDescent="0.25">
      <c r="C426" s="300"/>
      <c r="D426" s="857">
        <v>66</v>
      </c>
      <c r="E426" s="549" t="s">
        <v>521</v>
      </c>
      <c r="F426" s="549" t="s">
        <v>521</v>
      </c>
      <c r="G426" s="549" t="s">
        <v>521</v>
      </c>
      <c r="H426" s="549" t="s">
        <v>521</v>
      </c>
      <c r="I426" s="549" t="s">
        <v>521</v>
      </c>
      <c r="J426" s="549" t="s">
        <v>521</v>
      </c>
      <c r="K426" s="549" t="s">
        <v>521</v>
      </c>
      <c r="L426" s="549" t="s">
        <v>521</v>
      </c>
      <c r="M426" s="549" t="s">
        <v>521</v>
      </c>
      <c r="N426" s="549" t="s">
        <v>521</v>
      </c>
      <c r="P426" s="18" t="s">
        <v>89</v>
      </c>
    </row>
    <row r="427" spans="3:16" x14ac:dyDescent="0.25">
      <c r="C427" s="300"/>
      <c r="D427" s="857">
        <v>67</v>
      </c>
      <c r="E427" s="549" t="s">
        <v>521</v>
      </c>
      <c r="F427" s="549" t="s">
        <v>521</v>
      </c>
      <c r="G427" s="549" t="s">
        <v>521</v>
      </c>
      <c r="H427" s="549" t="s">
        <v>521</v>
      </c>
      <c r="I427" s="549" t="s">
        <v>521</v>
      </c>
      <c r="J427" s="549" t="s">
        <v>521</v>
      </c>
      <c r="K427" s="549" t="s">
        <v>521</v>
      </c>
      <c r="L427" s="549" t="s">
        <v>521</v>
      </c>
      <c r="M427" s="549" t="s">
        <v>521</v>
      </c>
      <c r="N427" s="549" t="s">
        <v>521</v>
      </c>
      <c r="P427" s="18" t="s">
        <v>89</v>
      </c>
    </row>
    <row r="428" spans="3:16" x14ac:dyDescent="0.25">
      <c r="C428" s="300"/>
      <c r="D428" s="857">
        <v>68</v>
      </c>
      <c r="E428" s="549" t="s">
        <v>521</v>
      </c>
      <c r="F428" s="549" t="s">
        <v>521</v>
      </c>
      <c r="G428" s="549" t="s">
        <v>521</v>
      </c>
      <c r="H428" s="549" t="s">
        <v>521</v>
      </c>
      <c r="I428" s="549" t="s">
        <v>521</v>
      </c>
      <c r="J428" s="549" t="s">
        <v>521</v>
      </c>
      <c r="K428" s="549" t="s">
        <v>521</v>
      </c>
      <c r="L428" s="549" t="s">
        <v>521</v>
      </c>
      <c r="M428" s="549" t="s">
        <v>521</v>
      </c>
      <c r="N428" s="549" t="s">
        <v>521</v>
      </c>
      <c r="P428" s="18" t="s">
        <v>89</v>
      </c>
    </row>
    <row r="429" spans="3:16" x14ac:dyDescent="0.25">
      <c r="C429" s="300"/>
      <c r="D429" s="857">
        <v>69</v>
      </c>
      <c r="E429" s="549" t="s">
        <v>521</v>
      </c>
      <c r="F429" s="549" t="s">
        <v>521</v>
      </c>
      <c r="G429" s="549" t="s">
        <v>521</v>
      </c>
      <c r="H429" s="549" t="s">
        <v>521</v>
      </c>
      <c r="I429" s="549" t="s">
        <v>521</v>
      </c>
      <c r="J429" s="549" t="s">
        <v>521</v>
      </c>
      <c r="K429" s="549" t="s">
        <v>521</v>
      </c>
      <c r="L429" s="549" t="s">
        <v>521</v>
      </c>
      <c r="M429" s="549" t="s">
        <v>521</v>
      </c>
      <c r="N429" s="549" t="s">
        <v>521</v>
      </c>
      <c r="P429" s="18" t="s">
        <v>89</v>
      </c>
    </row>
    <row r="430" spans="3:16" x14ac:dyDescent="0.25">
      <c r="C430" s="300"/>
      <c r="D430" s="857">
        <v>70</v>
      </c>
      <c r="E430" s="549" t="s">
        <v>521</v>
      </c>
      <c r="F430" s="549" t="s">
        <v>521</v>
      </c>
      <c r="G430" s="549" t="s">
        <v>521</v>
      </c>
      <c r="H430" s="549" t="s">
        <v>521</v>
      </c>
      <c r="I430" s="549" t="s">
        <v>521</v>
      </c>
      <c r="J430" s="549" t="s">
        <v>521</v>
      </c>
      <c r="K430" s="549" t="s">
        <v>521</v>
      </c>
      <c r="L430" s="549" t="s">
        <v>521</v>
      </c>
      <c r="M430" s="549" t="s">
        <v>521</v>
      </c>
      <c r="N430" s="549" t="s">
        <v>521</v>
      </c>
      <c r="P430" s="18" t="s">
        <v>89</v>
      </c>
    </row>
    <row r="431" spans="3:16" x14ac:dyDescent="0.25">
      <c r="C431" s="300"/>
      <c r="D431" s="857">
        <v>71</v>
      </c>
      <c r="E431" s="549" t="s">
        <v>521</v>
      </c>
      <c r="F431" s="549" t="s">
        <v>521</v>
      </c>
      <c r="G431" s="549" t="s">
        <v>521</v>
      </c>
      <c r="H431" s="549" t="s">
        <v>521</v>
      </c>
      <c r="I431" s="549" t="s">
        <v>521</v>
      </c>
      <c r="J431" s="549" t="s">
        <v>521</v>
      </c>
      <c r="K431" s="549" t="s">
        <v>521</v>
      </c>
      <c r="L431" s="549" t="s">
        <v>521</v>
      </c>
      <c r="M431" s="549" t="s">
        <v>521</v>
      </c>
      <c r="N431" s="549" t="s">
        <v>521</v>
      </c>
      <c r="P431" s="18" t="s">
        <v>89</v>
      </c>
    </row>
    <row r="432" spans="3:16" x14ac:dyDescent="0.25">
      <c r="C432" s="300"/>
      <c r="D432" s="857">
        <v>72</v>
      </c>
      <c r="E432" s="549" t="s">
        <v>521</v>
      </c>
      <c r="F432" s="549" t="s">
        <v>521</v>
      </c>
      <c r="G432" s="549" t="s">
        <v>521</v>
      </c>
      <c r="H432" s="549" t="s">
        <v>521</v>
      </c>
      <c r="I432" s="549" t="s">
        <v>521</v>
      </c>
      <c r="J432" s="549" t="s">
        <v>521</v>
      </c>
      <c r="K432" s="549" t="s">
        <v>521</v>
      </c>
      <c r="L432" s="549" t="s">
        <v>521</v>
      </c>
      <c r="M432" s="549" t="s">
        <v>521</v>
      </c>
      <c r="N432" s="549" t="s">
        <v>521</v>
      </c>
      <c r="P432" s="18" t="s">
        <v>89</v>
      </c>
    </row>
    <row r="433" spans="3:16" x14ac:dyDescent="0.25">
      <c r="C433" s="300"/>
      <c r="D433" s="857">
        <v>73</v>
      </c>
      <c r="E433" s="549" t="s">
        <v>521</v>
      </c>
      <c r="F433" s="549" t="s">
        <v>521</v>
      </c>
      <c r="G433" s="549" t="s">
        <v>521</v>
      </c>
      <c r="H433" s="549" t="s">
        <v>521</v>
      </c>
      <c r="I433" s="549" t="s">
        <v>521</v>
      </c>
      <c r="J433" s="549" t="s">
        <v>521</v>
      </c>
      <c r="K433" s="549" t="s">
        <v>521</v>
      </c>
      <c r="L433" s="549" t="s">
        <v>521</v>
      </c>
      <c r="M433" s="549" t="s">
        <v>521</v>
      </c>
      <c r="N433" s="549" t="s">
        <v>521</v>
      </c>
      <c r="P433" s="18" t="s">
        <v>89</v>
      </c>
    </row>
    <row r="434" spans="3:16" x14ac:dyDescent="0.25">
      <c r="C434" s="300"/>
      <c r="D434" s="857">
        <v>74</v>
      </c>
      <c r="E434" s="549" t="s">
        <v>521</v>
      </c>
      <c r="F434" s="549" t="s">
        <v>521</v>
      </c>
      <c r="G434" s="549" t="s">
        <v>521</v>
      </c>
      <c r="H434" s="549" t="s">
        <v>521</v>
      </c>
      <c r="I434" s="549" t="s">
        <v>521</v>
      </c>
      <c r="J434" s="549" t="s">
        <v>521</v>
      </c>
      <c r="K434" s="549" t="s">
        <v>521</v>
      </c>
      <c r="L434" s="549" t="s">
        <v>521</v>
      </c>
      <c r="M434" s="549" t="s">
        <v>521</v>
      </c>
      <c r="N434" s="549" t="s">
        <v>521</v>
      </c>
      <c r="P434" s="18" t="s">
        <v>89</v>
      </c>
    </row>
    <row r="435" spans="3:16" x14ac:dyDescent="0.25">
      <c r="C435" s="300"/>
      <c r="D435" s="857">
        <v>75</v>
      </c>
      <c r="E435" s="549" t="s">
        <v>521</v>
      </c>
      <c r="F435" s="549" t="s">
        <v>521</v>
      </c>
      <c r="G435" s="549" t="s">
        <v>521</v>
      </c>
      <c r="H435" s="549" t="s">
        <v>521</v>
      </c>
      <c r="I435" s="549" t="s">
        <v>521</v>
      </c>
      <c r="J435" s="549" t="s">
        <v>521</v>
      </c>
      <c r="K435" s="549" t="s">
        <v>521</v>
      </c>
      <c r="L435" s="549" t="s">
        <v>521</v>
      </c>
      <c r="M435" s="549" t="s">
        <v>521</v>
      </c>
      <c r="N435" s="549" t="s">
        <v>521</v>
      </c>
      <c r="P435" s="18" t="s">
        <v>89</v>
      </c>
    </row>
    <row r="436" spans="3:16" x14ac:dyDescent="0.25">
      <c r="C436" s="300"/>
      <c r="D436" s="857">
        <v>76</v>
      </c>
      <c r="E436" s="549" t="s">
        <v>521</v>
      </c>
      <c r="F436" s="549" t="s">
        <v>521</v>
      </c>
      <c r="G436" s="549" t="s">
        <v>521</v>
      </c>
      <c r="H436" s="549" t="s">
        <v>521</v>
      </c>
      <c r="I436" s="549" t="s">
        <v>521</v>
      </c>
      <c r="J436" s="549" t="s">
        <v>521</v>
      </c>
      <c r="K436" s="549" t="s">
        <v>521</v>
      </c>
      <c r="L436" s="549" t="s">
        <v>521</v>
      </c>
      <c r="M436" s="549" t="s">
        <v>521</v>
      </c>
      <c r="N436" s="549" t="s">
        <v>521</v>
      </c>
      <c r="P436" s="18" t="s">
        <v>89</v>
      </c>
    </row>
    <row r="437" spans="3:16" x14ac:dyDescent="0.25">
      <c r="C437" s="300"/>
      <c r="D437" s="857">
        <v>77</v>
      </c>
      <c r="E437" s="549" t="s">
        <v>521</v>
      </c>
      <c r="F437" s="549" t="s">
        <v>521</v>
      </c>
      <c r="G437" s="549" t="s">
        <v>521</v>
      </c>
      <c r="H437" s="549" t="s">
        <v>521</v>
      </c>
      <c r="I437" s="549" t="s">
        <v>521</v>
      </c>
      <c r="J437" s="549" t="s">
        <v>521</v>
      </c>
      <c r="K437" s="549" t="s">
        <v>521</v>
      </c>
      <c r="L437" s="549" t="s">
        <v>521</v>
      </c>
      <c r="M437" s="549" t="s">
        <v>521</v>
      </c>
      <c r="N437" s="549" t="s">
        <v>521</v>
      </c>
      <c r="P437" s="18" t="s">
        <v>89</v>
      </c>
    </row>
    <row r="438" spans="3:16" x14ac:dyDescent="0.25">
      <c r="C438" s="300"/>
      <c r="D438" s="857">
        <v>78</v>
      </c>
      <c r="E438" s="549" t="s">
        <v>521</v>
      </c>
      <c r="F438" s="549" t="s">
        <v>521</v>
      </c>
      <c r="G438" s="549" t="s">
        <v>521</v>
      </c>
      <c r="H438" s="549" t="s">
        <v>521</v>
      </c>
      <c r="I438" s="549" t="s">
        <v>521</v>
      </c>
      <c r="J438" s="549" t="s">
        <v>521</v>
      </c>
      <c r="K438" s="549" t="s">
        <v>521</v>
      </c>
      <c r="L438" s="549" t="s">
        <v>521</v>
      </c>
      <c r="M438" s="549" t="s">
        <v>521</v>
      </c>
      <c r="N438" s="549" t="s">
        <v>521</v>
      </c>
      <c r="P438" s="18" t="s">
        <v>89</v>
      </c>
    </row>
    <row r="439" spans="3:16" x14ac:dyDescent="0.25">
      <c r="C439" s="300"/>
      <c r="D439" s="857">
        <v>79</v>
      </c>
      <c r="E439" s="549" t="s">
        <v>521</v>
      </c>
      <c r="F439" s="549" t="s">
        <v>521</v>
      </c>
      <c r="G439" s="549" t="s">
        <v>521</v>
      </c>
      <c r="H439" s="549" t="s">
        <v>521</v>
      </c>
      <c r="I439" s="549" t="s">
        <v>521</v>
      </c>
      <c r="J439" s="549" t="s">
        <v>521</v>
      </c>
      <c r="K439" s="549" t="s">
        <v>521</v>
      </c>
      <c r="L439" s="549" t="s">
        <v>521</v>
      </c>
      <c r="M439" s="549" t="s">
        <v>521</v>
      </c>
      <c r="N439" s="549" t="s">
        <v>521</v>
      </c>
      <c r="P439" s="18" t="s">
        <v>89</v>
      </c>
    </row>
    <row r="440" spans="3:16" x14ac:dyDescent="0.25">
      <c r="C440" s="300"/>
      <c r="D440" s="857">
        <v>80</v>
      </c>
      <c r="E440" s="549" t="s">
        <v>521</v>
      </c>
      <c r="F440" s="549" t="s">
        <v>521</v>
      </c>
      <c r="G440" s="549" t="s">
        <v>521</v>
      </c>
      <c r="H440" s="549" t="s">
        <v>521</v>
      </c>
      <c r="I440" s="549" t="s">
        <v>521</v>
      </c>
      <c r="J440" s="549" t="s">
        <v>521</v>
      </c>
      <c r="K440" s="549" t="s">
        <v>521</v>
      </c>
      <c r="L440" s="549" t="s">
        <v>521</v>
      </c>
      <c r="M440" s="549" t="s">
        <v>521</v>
      </c>
      <c r="N440" s="549" t="s">
        <v>521</v>
      </c>
      <c r="P440" s="18" t="s">
        <v>89</v>
      </c>
    </row>
    <row r="441" spans="3:16" x14ac:dyDescent="0.25">
      <c r="C441" s="300"/>
      <c r="D441" s="857">
        <v>81</v>
      </c>
      <c r="E441" s="549" t="s">
        <v>521</v>
      </c>
      <c r="F441" s="549" t="s">
        <v>521</v>
      </c>
      <c r="G441" s="549" t="s">
        <v>521</v>
      </c>
      <c r="H441" s="549" t="s">
        <v>521</v>
      </c>
      <c r="I441" s="549" t="s">
        <v>521</v>
      </c>
      <c r="J441" s="549" t="s">
        <v>521</v>
      </c>
      <c r="K441" s="549" t="s">
        <v>521</v>
      </c>
      <c r="L441" s="549" t="s">
        <v>521</v>
      </c>
      <c r="M441" s="549" t="s">
        <v>521</v>
      </c>
      <c r="N441" s="549" t="s">
        <v>521</v>
      </c>
      <c r="P441" s="18" t="s">
        <v>89</v>
      </c>
    </row>
    <row r="442" spans="3:16" x14ac:dyDescent="0.25">
      <c r="C442" s="300"/>
      <c r="D442" s="857">
        <v>82</v>
      </c>
      <c r="E442" s="549" t="s">
        <v>521</v>
      </c>
      <c r="F442" s="549" t="s">
        <v>521</v>
      </c>
      <c r="G442" s="549" t="s">
        <v>521</v>
      </c>
      <c r="H442" s="549" t="s">
        <v>521</v>
      </c>
      <c r="I442" s="549" t="s">
        <v>521</v>
      </c>
      <c r="J442" s="549" t="s">
        <v>521</v>
      </c>
      <c r="K442" s="549" t="s">
        <v>521</v>
      </c>
      <c r="L442" s="549" t="s">
        <v>521</v>
      </c>
      <c r="M442" s="549" t="s">
        <v>521</v>
      </c>
      <c r="N442" s="549" t="s">
        <v>521</v>
      </c>
      <c r="P442" s="18" t="s">
        <v>89</v>
      </c>
    </row>
    <row r="443" spans="3:16" x14ac:dyDescent="0.25">
      <c r="C443" s="300"/>
      <c r="D443" s="857">
        <v>83</v>
      </c>
      <c r="E443" s="549" t="s">
        <v>521</v>
      </c>
      <c r="F443" s="549" t="s">
        <v>521</v>
      </c>
      <c r="G443" s="549" t="s">
        <v>521</v>
      </c>
      <c r="H443" s="549" t="s">
        <v>521</v>
      </c>
      <c r="I443" s="549" t="s">
        <v>521</v>
      </c>
      <c r="J443" s="549" t="s">
        <v>521</v>
      </c>
      <c r="K443" s="549" t="s">
        <v>521</v>
      </c>
      <c r="L443" s="549" t="s">
        <v>521</v>
      </c>
      <c r="M443" s="549" t="s">
        <v>521</v>
      </c>
      <c r="N443" s="549" t="s">
        <v>521</v>
      </c>
      <c r="P443" s="18" t="s">
        <v>89</v>
      </c>
    </row>
    <row r="444" spans="3:16" x14ac:dyDescent="0.25">
      <c r="C444" s="300"/>
      <c r="D444" s="857">
        <v>84</v>
      </c>
      <c r="E444" s="549" t="s">
        <v>521</v>
      </c>
      <c r="F444" s="549" t="s">
        <v>521</v>
      </c>
      <c r="G444" s="549" t="s">
        <v>521</v>
      </c>
      <c r="H444" s="549" t="s">
        <v>521</v>
      </c>
      <c r="I444" s="549" t="s">
        <v>521</v>
      </c>
      <c r="J444" s="549" t="s">
        <v>521</v>
      </c>
      <c r="K444" s="549" t="s">
        <v>521</v>
      </c>
      <c r="L444" s="549" t="s">
        <v>521</v>
      </c>
      <c r="M444" s="549" t="s">
        <v>521</v>
      </c>
      <c r="N444" s="549" t="s">
        <v>521</v>
      </c>
      <c r="P444" s="18" t="s">
        <v>89</v>
      </c>
    </row>
    <row r="445" spans="3:16" x14ac:dyDescent="0.25">
      <c r="C445" s="300"/>
      <c r="D445" s="857">
        <v>85</v>
      </c>
      <c r="E445" s="549" t="s">
        <v>521</v>
      </c>
      <c r="F445" s="549" t="s">
        <v>521</v>
      </c>
      <c r="G445" s="549" t="s">
        <v>521</v>
      </c>
      <c r="H445" s="549" t="s">
        <v>521</v>
      </c>
      <c r="I445" s="549" t="s">
        <v>521</v>
      </c>
      <c r="J445" s="549" t="s">
        <v>521</v>
      </c>
      <c r="K445" s="549" t="s">
        <v>521</v>
      </c>
      <c r="L445" s="549" t="s">
        <v>521</v>
      </c>
      <c r="M445" s="549" t="s">
        <v>521</v>
      </c>
      <c r="N445" s="549" t="s">
        <v>521</v>
      </c>
      <c r="P445" s="18" t="s">
        <v>89</v>
      </c>
    </row>
    <row r="446" spans="3:16" x14ac:dyDescent="0.25">
      <c r="C446" s="300"/>
      <c r="D446" s="857">
        <v>86</v>
      </c>
      <c r="E446" s="549" t="s">
        <v>521</v>
      </c>
      <c r="F446" s="549" t="s">
        <v>521</v>
      </c>
      <c r="G446" s="549" t="s">
        <v>521</v>
      </c>
      <c r="H446" s="549" t="s">
        <v>521</v>
      </c>
      <c r="I446" s="549" t="s">
        <v>521</v>
      </c>
      <c r="J446" s="549" t="s">
        <v>521</v>
      </c>
      <c r="K446" s="549" t="s">
        <v>521</v>
      </c>
      <c r="L446" s="549" t="s">
        <v>521</v>
      </c>
      <c r="M446" s="549" t="s">
        <v>521</v>
      </c>
      <c r="N446" s="549" t="s">
        <v>521</v>
      </c>
      <c r="P446" s="18" t="s">
        <v>89</v>
      </c>
    </row>
    <row r="447" spans="3:16" x14ac:dyDescent="0.25">
      <c r="C447" s="300"/>
      <c r="D447" s="857">
        <v>87</v>
      </c>
      <c r="E447" s="549" t="s">
        <v>521</v>
      </c>
      <c r="F447" s="549" t="s">
        <v>521</v>
      </c>
      <c r="G447" s="549" t="s">
        <v>521</v>
      </c>
      <c r="H447" s="549" t="s">
        <v>521</v>
      </c>
      <c r="I447" s="549" t="s">
        <v>521</v>
      </c>
      <c r="J447" s="549" t="s">
        <v>521</v>
      </c>
      <c r="K447" s="549" t="s">
        <v>521</v>
      </c>
      <c r="L447" s="549" t="s">
        <v>521</v>
      </c>
      <c r="M447" s="549" t="s">
        <v>521</v>
      </c>
      <c r="N447" s="549" t="s">
        <v>521</v>
      </c>
      <c r="P447" s="18" t="s">
        <v>89</v>
      </c>
    </row>
    <row r="448" spans="3:16" x14ac:dyDescent="0.25">
      <c r="C448" s="300"/>
      <c r="D448" s="857">
        <v>88</v>
      </c>
      <c r="E448" s="549" t="s">
        <v>521</v>
      </c>
      <c r="F448" s="549" t="s">
        <v>521</v>
      </c>
      <c r="G448" s="549" t="s">
        <v>521</v>
      </c>
      <c r="H448" s="549" t="s">
        <v>521</v>
      </c>
      <c r="I448" s="549" t="s">
        <v>521</v>
      </c>
      <c r="J448" s="549" t="s">
        <v>521</v>
      </c>
      <c r="K448" s="549" t="s">
        <v>521</v>
      </c>
      <c r="L448" s="549" t="s">
        <v>521</v>
      </c>
      <c r="M448" s="549" t="s">
        <v>521</v>
      </c>
      <c r="N448" s="549" t="s">
        <v>521</v>
      </c>
      <c r="P448" s="18" t="s">
        <v>89</v>
      </c>
    </row>
    <row r="449" spans="3:16" x14ac:dyDescent="0.25">
      <c r="C449" s="300"/>
      <c r="D449" s="857">
        <v>89</v>
      </c>
      <c r="E449" s="549" t="s">
        <v>521</v>
      </c>
      <c r="F449" s="549" t="s">
        <v>521</v>
      </c>
      <c r="G449" s="549" t="s">
        <v>521</v>
      </c>
      <c r="H449" s="549" t="s">
        <v>521</v>
      </c>
      <c r="I449" s="549" t="s">
        <v>521</v>
      </c>
      <c r="J449" s="549" t="s">
        <v>521</v>
      </c>
      <c r="K449" s="549" t="s">
        <v>521</v>
      </c>
      <c r="L449" s="549" t="s">
        <v>521</v>
      </c>
      <c r="M449" s="549" t="s">
        <v>521</v>
      </c>
      <c r="N449" s="549" t="s">
        <v>521</v>
      </c>
      <c r="P449" s="18" t="s">
        <v>89</v>
      </c>
    </row>
    <row r="450" spans="3:16" x14ac:dyDescent="0.25">
      <c r="C450" s="300"/>
      <c r="D450" s="858" t="s">
        <v>509</v>
      </c>
      <c r="E450" s="550" t="s">
        <v>521</v>
      </c>
      <c r="F450" s="550" t="s">
        <v>521</v>
      </c>
      <c r="G450" s="550" t="s">
        <v>521</v>
      </c>
      <c r="H450" s="550" t="s">
        <v>521</v>
      </c>
      <c r="I450" s="550" t="s">
        <v>521</v>
      </c>
      <c r="J450" s="550" t="s">
        <v>521</v>
      </c>
      <c r="K450" s="550" t="s">
        <v>521</v>
      </c>
      <c r="L450" s="550" t="s">
        <v>521</v>
      </c>
      <c r="M450" s="550" t="s">
        <v>521</v>
      </c>
      <c r="N450" s="550" t="s">
        <v>521</v>
      </c>
      <c r="P450" s="18" t="s">
        <v>89</v>
      </c>
    </row>
    <row r="451" spans="3:16" ht="15.75" thickBot="1" x14ac:dyDescent="0.3">
      <c r="P451" s="18" t="s">
        <v>89</v>
      </c>
    </row>
    <row r="452" spans="3:16" x14ac:dyDescent="0.25">
      <c r="C452" s="300"/>
      <c r="D452" s="402"/>
      <c r="E452" s="956" t="s">
        <v>1103</v>
      </c>
      <c r="F452" s="956"/>
      <c r="G452" s="957"/>
      <c r="H452" s="957"/>
      <c r="I452" s="958"/>
      <c r="J452" s="956" t="s">
        <v>1104</v>
      </c>
      <c r="K452" s="956"/>
      <c r="L452" s="957"/>
      <c r="M452" s="957"/>
      <c r="N452" s="958"/>
      <c r="P452" s="18" t="s">
        <v>89</v>
      </c>
    </row>
    <row r="453" spans="3:16" x14ac:dyDescent="0.25">
      <c r="C453" s="300"/>
      <c r="D453" s="950" t="s">
        <v>1101</v>
      </c>
      <c r="E453" s="959">
        <v>0</v>
      </c>
      <c r="F453" s="959">
        <v>1</v>
      </c>
      <c r="G453" s="959">
        <v>2</v>
      </c>
      <c r="H453" s="959">
        <v>3</v>
      </c>
      <c r="I453" s="960" t="s">
        <v>1102</v>
      </c>
      <c r="J453" s="959">
        <v>0</v>
      </c>
      <c r="K453" s="959">
        <v>1</v>
      </c>
      <c r="L453" s="959">
        <v>2</v>
      </c>
      <c r="M453" s="959">
        <v>3</v>
      </c>
      <c r="N453" s="960" t="s">
        <v>1102</v>
      </c>
      <c r="P453" s="18" t="s">
        <v>89</v>
      </c>
    </row>
    <row r="454" spans="3:16" ht="15" customHeight="1" x14ac:dyDescent="0.25">
      <c r="C454" s="300"/>
      <c r="D454" s="950" t="s">
        <v>1134</v>
      </c>
      <c r="E454" s="518" t="s">
        <v>521</v>
      </c>
      <c r="F454" s="518" t="s">
        <v>521</v>
      </c>
      <c r="G454" s="518" t="s">
        <v>521</v>
      </c>
      <c r="H454" s="518" t="s">
        <v>521</v>
      </c>
      <c r="I454" s="518" t="s">
        <v>521</v>
      </c>
      <c r="J454" s="518" t="s">
        <v>521</v>
      </c>
      <c r="K454" s="518" t="s">
        <v>521</v>
      </c>
      <c r="L454" s="518" t="s">
        <v>521</v>
      </c>
      <c r="M454" s="518" t="s">
        <v>521</v>
      </c>
      <c r="N454" s="518" t="s">
        <v>521</v>
      </c>
      <c r="P454" s="18" t="s">
        <v>89</v>
      </c>
    </row>
    <row r="455" spans="3:16" x14ac:dyDescent="0.25">
      <c r="C455" s="300"/>
      <c r="D455" s="311" t="s">
        <v>41</v>
      </c>
      <c r="E455" s="439"/>
      <c r="F455" s="439"/>
      <c r="G455" s="439"/>
      <c r="H455" s="439"/>
      <c r="I455" s="439"/>
      <c r="J455" s="439"/>
      <c r="K455" s="439"/>
      <c r="L455" s="439"/>
      <c r="M455" s="439"/>
      <c r="N455" s="439"/>
      <c r="P455" s="18" t="s">
        <v>89</v>
      </c>
    </row>
    <row r="456" spans="3:16" x14ac:dyDescent="0.25">
      <c r="C456" s="300"/>
      <c r="D456" s="856">
        <v>1</v>
      </c>
      <c r="E456" s="549" t="s">
        <v>521</v>
      </c>
      <c r="F456" s="549" t="s">
        <v>521</v>
      </c>
      <c r="G456" s="549" t="s">
        <v>521</v>
      </c>
      <c r="H456" s="549" t="s">
        <v>521</v>
      </c>
      <c r="I456" s="549" t="s">
        <v>521</v>
      </c>
      <c r="J456" s="549" t="s">
        <v>521</v>
      </c>
      <c r="K456" s="549" t="s">
        <v>521</v>
      </c>
      <c r="L456" s="549" t="s">
        <v>521</v>
      </c>
      <c r="M456" s="549" t="s">
        <v>521</v>
      </c>
      <c r="N456" s="549" t="s">
        <v>521</v>
      </c>
      <c r="P456" s="18" t="s">
        <v>89</v>
      </c>
    </row>
    <row r="457" spans="3:16" x14ac:dyDescent="0.25">
      <c r="C457" s="300"/>
      <c r="D457" s="857">
        <v>2</v>
      </c>
      <c r="E457" s="549" t="s">
        <v>521</v>
      </c>
      <c r="F457" s="549" t="s">
        <v>521</v>
      </c>
      <c r="G457" s="549" t="s">
        <v>521</v>
      </c>
      <c r="H457" s="549" t="s">
        <v>521</v>
      </c>
      <c r="I457" s="549" t="s">
        <v>521</v>
      </c>
      <c r="J457" s="549" t="s">
        <v>521</v>
      </c>
      <c r="K457" s="549" t="s">
        <v>521</v>
      </c>
      <c r="L457" s="549" t="s">
        <v>521</v>
      </c>
      <c r="M457" s="549" t="s">
        <v>521</v>
      </c>
      <c r="N457" s="549" t="s">
        <v>521</v>
      </c>
      <c r="P457" s="18" t="s">
        <v>89</v>
      </c>
    </row>
    <row r="458" spans="3:16" x14ac:dyDescent="0.25">
      <c r="C458" s="300"/>
      <c r="D458" s="857">
        <v>3</v>
      </c>
      <c r="E458" s="549" t="s">
        <v>521</v>
      </c>
      <c r="F458" s="549" t="s">
        <v>521</v>
      </c>
      <c r="G458" s="549" t="s">
        <v>521</v>
      </c>
      <c r="H458" s="549" t="s">
        <v>521</v>
      </c>
      <c r="I458" s="549" t="s">
        <v>521</v>
      </c>
      <c r="J458" s="549" t="s">
        <v>521</v>
      </c>
      <c r="K458" s="549" t="s">
        <v>521</v>
      </c>
      <c r="L458" s="549" t="s">
        <v>521</v>
      </c>
      <c r="M458" s="549" t="s">
        <v>521</v>
      </c>
      <c r="N458" s="549" t="s">
        <v>521</v>
      </c>
      <c r="P458" s="18" t="s">
        <v>89</v>
      </c>
    </row>
    <row r="459" spans="3:16" x14ac:dyDescent="0.25">
      <c r="C459" s="300"/>
      <c r="D459" s="857">
        <v>4</v>
      </c>
      <c r="E459" s="549" t="s">
        <v>521</v>
      </c>
      <c r="F459" s="549" t="s">
        <v>521</v>
      </c>
      <c r="G459" s="549" t="s">
        <v>521</v>
      </c>
      <c r="H459" s="549" t="s">
        <v>521</v>
      </c>
      <c r="I459" s="549" t="s">
        <v>521</v>
      </c>
      <c r="J459" s="549" t="s">
        <v>521</v>
      </c>
      <c r="K459" s="549" t="s">
        <v>521</v>
      </c>
      <c r="L459" s="549" t="s">
        <v>521</v>
      </c>
      <c r="M459" s="549" t="s">
        <v>521</v>
      </c>
      <c r="N459" s="549" t="s">
        <v>521</v>
      </c>
      <c r="P459" s="18" t="s">
        <v>89</v>
      </c>
    </row>
    <row r="460" spans="3:16" x14ac:dyDescent="0.25">
      <c r="C460" s="300"/>
      <c r="D460" s="857">
        <v>5</v>
      </c>
      <c r="E460" s="549" t="s">
        <v>521</v>
      </c>
      <c r="F460" s="549" t="s">
        <v>521</v>
      </c>
      <c r="G460" s="549" t="s">
        <v>521</v>
      </c>
      <c r="H460" s="549" t="s">
        <v>521</v>
      </c>
      <c r="I460" s="549" t="s">
        <v>521</v>
      </c>
      <c r="J460" s="549" t="s">
        <v>521</v>
      </c>
      <c r="K460" s="549" t="s">
        <v>521</v>
      </c>
      <c r="L460" s="549" t="s">
        <v>521</v>
      </c>
      <c r="M460" s="549" t="s">
        <v>521</v>
      </c>
      <c r="N460" s="549" t="s">
        <v>521</v>
      </c>
      <c r="P460" s="18" t="s">
        <v>89</v>
      </c>
    </row>
    <row r="461" spans="3:16" x14ac:dyDescent="0.25">
      <c r="C461" s="300"/>
      <c r="D461" s="857">
        <v>6</v>
      </c>
      <c r="E461" s="549" t="s">
        <v>521</v>
      </c>
      <c r="F461" s="549" t="s">
        <v>521</v>
      </c>
      <c r="G461" s="549" t="s">
        <v>521</v>
      </c>
      <c r="H461" s="549" t="s">
        <v>521</v>
      </c>
      <c r="I461" s="549" t="s">
        <v>521</v>
      </c>
      <c r="J461" s="549" t="s">
        <v>521</v>
      </c>
      <c r="K461" s="549" t="s">
        <v>521</v>
      </c>
      <c r="L461" s="549" t="s">
        <v>521</v>
      </c>
      <c r="M461" s="549" t="s">
        <v>521</v>
      </c>
      <c r="N461" s="549" t="s">
        <v>521</v>
      </c>
      <c r="P461" s="18" t="s">
        <v>89</v>
      </c>
    </row>
    <row r="462" spans="3:16" x14ac:dyDescent="0.25">
      <c r="C462" s="300"/>
      <c r="D462" s="857">
        <v>7</v>
      </c>
      <c r="E462" s="549" t="s">
        <v>521</v>
      </c>
      <c r="F462" s="549" t="s">
        <v>521</v>
      </c>
      <c r="G462" s="549" t="s">
        <v>521</v>
      </c>
      <c r="H462" s="549" t="s">
        <v>521</v>
      </c>
      <c r="I462" s="549" t="s">
        <v>521</v>
      </c>
      <c r="J462" s="549" t="s">
        <v>521</v>
      </c>
      <c r="K462" s="549" t="s">
        <v>521</v>
      </c>
      <c r="L462" s="549" t="s">
        <v>521</v>
      </c>
      <c r="M462" s="549" t="s">
        <v>521</v>
      </c>
      <c r="N462" s="549" t="s">
        <v>521</v>
      </c>
      <c r="P462" s="18" t="s">
        <v>89</v>
      </c>
    </row>
    <row r="463" spans="3:16" x14ac:dyDescent="0.25">
      <c r="C463" s="300"/>
      <c r="D463" s="857">
        <v>8</v>
      </c>
      <c r="E463" s="549" t="s">
        <v>521</v>
      </c>
      <c r="F463" s="549" t="s">
        <v>521</v>
      </c>
      <c r="G463" s="549" t="s">
        <v>521</v>
      </c>
      <c r="H463" s="549" t="s">
        <v>521</v>
      </c>
      <c r="I463" s="549" t="s">
        <v>521</v>
      </c>
      <c r="J463" s="549" t="s">
        <v>521</v>
      </c>
      <c r="K463" s="549" t="s">
        <v>521</v>
      </c>
      <c r="L463" s="549" t="s">
        <v>521</v>
      </c>
      <c r="M463" s="549" t="s">
        <v>521</v>
      </c>
      <c r="N463" s="549" t="s">
        <v>521</v>
      </c>
      <c r="P463" s="18" t="s">
        <v>89</v>
      </c>
    </row>
    <row r="464" spans="3:16" x14ac:dyDescent="0.25">
      <c r="C464" s="300"/>
      <c r="D464" s="857">
        <v>9</v>
      </c>
      <c r="E464" s="549" t="s">
        <v>521</v>
      </c>
      <c r="F464" s="549" t="s">
        <v>521</v>
      </c>
      <c r="G464" s="549" t="s">
        <v>521</v>
      </c>
      <c r="H464" s="549" t="s">
        <v>521</v>
      </c>
      <c r="I464" s="549" t="s">
        <v>521</v>
      </c>
      <c r="J464" s="549" t="s">
        <v>521</v>
      </c>
      <c r="K464" s="549" t="s">
        <v>521</v>
      </c>
      <c r="L464" s="549" t="s">
        <v>521</v>
      </c>
      <c r="M464" s="549" t="s">
        <v>521</v>
      </c>
      <c r="N464" s="549" t="s">
        <v>521</v>
      </c>
      <c r="P464" s="18" t="s">
        <v>89</v>
      </c>
    </row>
    <row r="465" spans="3:16" x14ac:dyDescent="0.25">
      <c r="C465" s="300"/>
      <c r="D465" s="857">
        <v>10</v>
      </c>
      <c r="E465" s="549" t="s">
        <v>521</v>
      </c>
      <c r="F465" s="549" t="s">
        <v>521</v>
      </c>
      <c r="G465" s="549" t="s">
        <v>521</v>
      </c>
      <c r="H465" s="549" t="s">
        <v>521</v>
      </c>
      <c r="I465" s="549" t="s">
        <v>521</v>
      </c>
      <c r="J465" s="549" t="s">
        <v>521</v>
      </c>
      <c r="K465" s="549" t="s">
        <v>521</v>
      </c>
      <c r="L465" s="549" t="s">
        <v>521</v>
      </c>
      <c r="M465" s="549" t="s">
        <v>521</v>
      </c>
      <c r="N465" s="549" t="s">
        <v>521</v>
      </c>
      <c r="P465" s="18" t="s">
        <v>89</v>
      </c>
    </row>
    <row r="466" spans="3:16" x14ac:dyDescent="0.25">
      <c r="C466" s="300"/>
      <c r="D466" s="857">
        <v>11</v>
      </c>
      <c r="E466" s="549" t="s">
        <v>521</v>
      </c>
      <c r="F466" s="549" t="s">
        <v>521</v>
      </c>
      <c r="G466" s="549" t="s">
        <v>521</v>
      </c>
      <c r="H466" s="549" t="s">
        <v>521</v>
      </c>
      <c r="I466" s="549" t="s">
        <v>521</v>
      </c>
      <c r="J466" s="549" t="s">
        <v>521</v>
      </c>
      <c r="K466" s="549" t="s">
        <v>521</v>
      </c>
      <c r="L466" s="549" t="s">
        <v>521</v>
      </c>
      <c r="M466" s="549" t="s">
        <v>521</v>
      </c>
      <c r="N466" s="549" t="s">
        <v>521</v>
      </c>
      <c r="P466" s="18" t="s">
        <v>89</v>
      </c>
    </row>
    <row r="467" spans="3:16" x14ac:dyDescent="0.25">
      <c r="C467" s="300"/>
      <c r="D467" s="857">
        <v>12</v>
      </c>
      <c r="E467" s="549" t="s">
        <v>521</v>
      </c>
      <c r="F467" s="549" t="s">
        <v>521</v>
      </c>
      <c r="G467" s="549" t="s">
        <v>521</v>
      </c>
      <c r="H467" s="549" t="s">
        <v>521</v>
      </c>
      <c r="I467" s="549" t="s">
        <v>521</v>
      </c>
      <c r="J467" s="549" t="s">
        <v>521</v>
      </c>
      <c r="K467" s="549" t="s">
        <v>521</v>
      </c>
      <c r="L467" s="549" t="s">
        <v>521</v>
      </c>
      <c r="M467" s="549" t="s">
        <v>521</v>
      </c>
      <c r="N467" s="549" t="s">
        <v>521</v>
      </c>
      <c r="P467" s="18" t="s">
        <v>89</v>
      </c>
    </row>
    <row r="468" spans="3:16" x14ac:dyDescent="0.25">
      <c r="C468" s="300"/>
      <c r="D468" s="857">
        <v>13</v>
      </c>
      <c r="E468" s="549" t="s">
        <v>521</v>
      </c>
      <c r="F468" s="549" t="s">
        <v>521</v>
      </c>
      <c r="G468" s="549" t="s">
        <v>521</v>
      </c>
      <c r="H468" s="549" t="s">
        <v>521</v>
      </c>
      <c r="I468" s="549" t="s">
        <v>521</v>
      </c>
      <c r="J468" s="549" t="s">
        <v>521</v>
      </c>
      <c r="K468" s="549" t="s">
        <v>521</v>
      </c>
      <c r="L468" s="549" t="s">
        <v>521</v>
      </c>
      <c r="M468" s="549" t="s">
        <v>521</v>
      </c>
      <c r="N468" s="549" t="s">
        <v>521</v>
      </c>
      <c r="P468" s="18" t="s">
        <v>89</v>
      </c>
    </row>
    <row r="469" spans="3:16" x14ac:dyDescent="0.25">
      <c r="C469" s="300"/>
      <c r="D469" s="857">
        <v>14</v>
      </c>
      <c r="E469" s="549" t="s">
        <v>521</v>
      </c>
      <c r="F469" s="549" t="s">
        <v>521</v>
      </c>
      <c r="G469" s="549" t="s">
        <v>521</v>
      </c>
      <c r="H469" s="549" t="s">
        <v>521</v>
      </c>
      <c r="I469" s="549" t="s">
        <v>521</v>
      </c>
      <c r="J469" s="549" t="s">
        <v>521</v>
      </c>
      <c r="K469" s="549" t="s">
        <v>521</v>
      </c>
      <c r="L469" s="549" t="s">
        <v>521</v>
      </c>
      <c r="M469" s="549" t="s">
        <v>521</v>
      </c>
      <c r="N469" s="549" t="s">
        <v>521</v>
      </c>
      <c r="P469" s="18" t="s">
        <v>89</v>
      </c>
    </row>
    <row r="470" spans="3:16" x14ac:dyDescent="0.25">
      <c r="C470" s="300"/>
      <c r="D470" s="857">
        <v>15</v>
      </c>
      <c r="E470" s="549" t="s">
        <v>521</v>
      </c>
      <c r="F470" s="549" t="s">
        <v>521</v>
      </c>
      <c r="G470" s="549" t="s">
        <v>521</v>
      </c>
      <c r="H470" s="549" t="s">
        <v>521</v>
      </c>
      <c r="I470" s="549" t="s">
        <v>521</v>
      </c>
      <c r="J470" s="549" t="s">
        <v>521</v>
      </c>
      <c r="K470" s="549" t="s">
        <v>521</v>
      </c>
      <c r="L470" s="549" t="s">
        <v>521</v>
      </c>
      <c r="M470" s="549" t="s">
        <v>521</v>
      </c>
      <c r="N470" s="549" t="s">
        <v>521</v>
      </c>
      <c r="P470" s="18" t="s">
        <v>89</v>
      </c>
    </row>
    <row r="471" spans="3:16" x14ac:dyDescent="0.25">
      <c r="C471" s="300"/>
      <c r="D471" s="857">
        <v>16</v>
      </c>
      <c r="E471" s="549" t="s">
        <v>521</v>
      </c>
      <c r="F471" s="549" t="s">
        <v>521</v>
      </c>
      <c r="G471" s="549" t="s">
        <v>521</v>
      </c>
      <c r="H471" s="549" t="s">
        <v>521</v>
      </c>
      <c r="I471" s="549" t="s">
        <v>521</v>
      </c>
      <c r="J471" s="549" t="s">
        <v>521</v>
      </c>
      <c r="K471" s="549" t="s">
        <v>521</v>
      </c>
      <c r="L471" s="549" t="s">
        <v>521</v>
      </c>
      <c r="M471" s="549" t="s">
        <v>521</v>
      </c>
      <c r="N471" s="549" t="s">
        <v>521</v>
      </c>
      <c r="P471" s="18" t="s">
        <v>89</v>
      </c>
    </row>
    <row r="472" spans="3:16" x14ac:dyDescent="0.25">
      <c r="C472" s="300"/>
      <c r="D472" s="857">
        <v>17</v>
      </c>
      <c r="E472" s="549" t="s">
        <v>521</v>
      </c>
      <c r="F472" s="549" t="s">
        <v>521</v>
      </c>
      <c r="G472" s="549" t="s">
        <v>521</v>
      </c>
      <c r="H472" s="549" t="s">
        <v>521</v>
      </c>
      <c r="I472" s="549" t="s">
        <v>521</v>
      </c>
      <c r="J472" s="549" t="s">
        <v>521</v>
      </c>
      <c r="K472" s="549" t="s">
        <v>521</v>
      </c>
      <c r="L472" s="549" t="s">
        <v>521</v>
      </c>
      <c r="M472" s="549" t="s">
        <v>521</v>
      </c>
      <c r="N472" s="549" t="s">
        <v>521</v>
      </c>
      <c r="P472" s="18" t="s">
        <v>89</v>
      </c>
    </row>
    <row r="473" spans="3:16" x14ac:dyDescent="0.25">
      <c r="C473" s="300"/>
      <c r="D473" s="857">
        <v>18</v>
      </c>
      <c r="E473" s="549" t="s">
        <v>521</v>
      </c>
      <c r="F473" s="549" t="s">
        <v>521</v>
      </c>
      <c r="G473" s="549" t="s">
        <v>521</v>
      </c>
      <c r="H473" s="549" t="s">
        <v>521</v>
      </c>
      <c r="I473" s="549" t="s">
        <v>521</v>
      </c>
      <c r="J473" s="549" t="s">
        <v>521</v>
      </c>
      <c r="K473" s="549" t="s">
        <v>521</v>
      </c>
      <c r="L473" s="549" t="s">
        <v>521</v>
      </c>
      <c r="M473" s="549" t="s">
        <v>521</v>
      </c>
      <c r="N473" s="549" t="s">
        <v>521</v>
      </c>
      <c r="P473" s="18" t="s">
        <v>89</v>
      </c>
    </row>
    <row r="474" spans="3:16" x14ac:dyDescent="0.25">
      <c r="C474" s="300"/>
      <c r="D474" s="857">
        <v>19</v>
      </c>
      <c r="E474" s="549" t="s">
        <v>521</v>
      </c>
      <c r="F474" s="549" t="s">
        <v>521</v>
      </c>
      <c r="G474" s="549" t="s">
        <v>521</v>
      </c>
      <c r="H474" s="549" t="s">
        <v>521</v>
      </c>
      <c r="I474" s="549" t="s">
        <v>521</v>
      </c>
      <c r="J474" s="549" t="s">
        <v>521</v>
      </c>
      <c r="K474" s="549" t="s">
        <v>521</v>
      </c>
      <c r="L474" s="549" t="s">
        <v>521</v>
      </c>
      <c r="M474" s="549" t="s">
        <v>521</v>
      </c>
      <c r="N474" s="549" t="s">
        <v>521</v>
      </c>
      <c r="P474" s="18" t="s">
        <v>89</v>
      </c>
    </row>
    <row r="475" spans="3:16" x14ac:dyDescent="0.25">
      <c r="C475" s="300"/>
      <c r="D475" s="857">
        <v>20</v>
      </c>
      <c r="E475" s="549" t="s">
        <v>521</v>
      </c>
      <c r="F475" s="549" t="s">
        <v>521</v>
      </c>
      <c r="G475" s="549" t="s">
        <v>521</v>
      </c>
      <c r="H475" s="549" t="s">
        <v>521</v>
      </c>
      <c r="I475" s="549" t="s">
        <v>521</v>
      </c>
      <c r="J475" s="549" t="s">
        <v>521</v>
      </c>
      <c r="K475" s="549" t="s">
        <v>521</v>
      </c>
      <c r="L475" s="549" t="s">
        <v>521</v>
      </c>
      <c r="M475" s="549" t="s">
        <v>521</v>
      </c>
      <c r="N475" s="549" t="s">
        <v>521</v>
      </c>
      <c r="P475" s="18" t="s">
        <v>89</v>
      </c>
    </row>
    <row r="476" spans="3:16" x14ac:dyDescent="0.25">
      <c r="C476" s="300"/>
      <c r="D476" s="857">
        <v>21</v>
      </c>
      <c r="E476" s="549" t="s">
        <v>521</v>
      </c>
      <c r="F476" s="549" t="s">
        <v>521</v>
      </c>
      <c r="G476" s="549" t="s">
        <v>521</v>
      </c>
      <c r="H476" s="549" t="s">
        <v>521</v>
      </c>
      <c r="I476" s="549" t="s">
        <v>521</v>
      </c>
      <c r="J476" s="549" t="s">
        <v>521</v>
      </c>
      <c r="K476" s="549" t="s">
        <v>521</v>
      </c>
      <c r="L476" s="549" t="s">
        <v>521</v>
      </c>
      <c r="M476" s="549" t="s">
        <v>521</v>
      </c>
      <c r="N476" s="549" t="s">
        <v>521</v>
      </c>
      <c r="P476" s="18" t="s">
        <v>89</v>
      </c>
    </row>
    <row r="477" spans="3:16" x14ac:dyDescent="0.25">
      <c r="C477" s="300"/>
      <c r="D477" s="857">
        <v>22</v>
      </c>
      <c r="E477" s="549" t="s">
        <v>521</v>
      </c>
      <c r="F477" s="549" t="s">
        <v>521</v>
      </c>
      <c r="G477" s="549" t="s">
        <v>521</v>
      </c>
      <c r="H477" s="549" t="s">
        <v>521</v>
      </c>
      <c r="I477" s="549" t="s">
        <v>521</v>
      </c>
      <c r="J477" s="549" t="s">
        <v>521</v>
      </c>
      <c r="K477" s="549" t="s">
        <v>521</v>
      </c>
      <c r="L477" s="549" t="s">
        <v>521</v>
      </c>
      <c r="M477" s="549" t="s">
        <v>521</v>
      </c>
      <c r="N477" s="549" t="s">
        <v>521</v>
      </c>
      <c r="P477" s="18" t="s">
        <v>89</v>
      </c>
    </row>
    <row r="478" spans="3:16" x14ac:dyDescent="0.25">
      <c r="C478" s="300"/>
      <c r="D478" s="857">
        <v>23</v>
      </c>
      <c r="E478" s="549" t="s">
        <v>521</v>
      </c>
      <c r="F478" s="549" t="s">
        <v>521</v>
      </c>
      <c r="G478" s="549" t="s">
        <v>521</v>
      </c>
      <c r="H478" s="549" t="s">
        <v>521</v>
      </c>
      <c r="I478" s="549" t="s">
        <v>521</v>
      </c>
      <c r="J478" s="549" t="s">
        <v>521</v>
      </c>
      <c r="K478" s="549" t="s">
        <v>521</v>
      </c>
      <c r="L478" s="549" t="s">
        <v>521</v>
      </c>
      <c r="M478" s="549" t="s">
        <v>521</v>
      </c>
      <c r="N478" s="549" t="s">
        <v>521</v>
      </c>
      <c r="P478" s="18" t="s">
        <v>89</v>
      </c>
    </row>
    <row r="479" spans="3:16" x14ac:dyDescent="0.25">
      <c r="C479" s="300"/>
      <c r="D479" s="857">
        <v>24</v>
      </c>
      <c r="E479" s="549" t="s">
        <v>521</v>
      </c>
      <c r="F479" s="549" t="s">
        <v>521</v>
      </c>
      <c r="G479" s="549" t="s">
        <v>521</v>
      </c>
      <c r="H479" s="549" t="s">
        <v>521</v>
      </c>
      <c r="I479" s="549" t="s">
        <v>521</v>
      </c>
      <c r="J479" s="549" t="s">
        <v>521</v>
      </c>
      <c r="K479" s="549" t="s">
        <v>521</v>
      </c>
      <c r="L479" s="549" t="s">
        <v>521</v>
      </c>
      <c r="M479" s="549" t="s">
        <v>521</v>
      </c>
      <c r="N479" s="549" t="s">
        <v>521</v>
      </c>
      <c r="P479" s="18" t="s">
        <v>89</v>
      </c>
    </row>
    <row r="480" spans="3:16" x14ac:dyDescent="0.25">
      <c r="C480" s="300"/>
      <c r="D480" s="857">
        <v>25</v>
      </c>
      <c r="E480" s="549" t="s">
        <v>521</v>
      </c>
      <c r="F480" s="549" t="s">
        <v>521</v>
      </c>
      <c r="G480" s="549" t="s">
        <v>521</v>
      </c>
      <c r="H480" s="549" t="s">
        <v>521</v>
      </c>
      <c r="I480" s="549" t="s">
        <v>521</v>
      </c>
      <c r="J480" s="549" t="s">
        <v>521</v>
      </c>
      <c r="K480" s="549" t="s">
        <v>521</v>
      </c>
      <c r="L480" s="549" t="s">
        <v>521</v>
      </c>
      <c r="M480" s="549" t="s">
        <v>521</v>
      </c>
      <c r="N480" s="549" t="s">
        <v>521</v>
      </c>
      <c r="P480" s="18" t="s">
        <v>89</v>
      </c>
    </row>
    <row r="481" spans="3:16" x14ac:dyDescent="0.25">
      <c r="C481" s="300"/>
      <c r="D481" s="857">
        <v>26</v>
      </c>
      <c r="E481" s="549" t="s">
        <v>521</v>
      </c>
      <c r="F481" s="549" t="s">
        <v>521</v>
      </c>
      <c r="G481" s="549" t="s">
        <v>521</v>
      </c>
      <c r="H481" s="549" t="s">
        <v>521</v>
      </c>
      <c r="I481" s="549" t="s">
        <v>521</v>
      </c>
      <c r="J481" s="549" t="s">
        <v>521</v>
      </c>
      <c r="K481" s="549" t="s">
        <v>521</v>
      </c>
      <c r="L481" s="549" t="s">
        <v>521</v>
      </c>
      <c r="M481" s="549" t="s">
        <v>521</v>
      </c>
      <c r="N481" s="549" t="s">
        <v>521</v>
      </c>
      <c r="P481" s="18" t="s">
        <v>89</v>
      </c>
    </row>
    <row r="482" spans="3:16" x14ac:dyDescent="0.25">
      <c r="C482" s="300"/>
      <c r="D482" s="857">
        <v>27</v>
      </c>
      <c r="E482" s="549" t="s">
        <v>521</v>
      </c>
      <c r="F482" s="549" t="s">
        <v>521</v>
      </c>
      <c r="G482" s="549" t="s">
        <v>521</v>
      </c>
      <c r="H482" s="549" t="s">
        <v>521</v>
      </c>
      <c r="I482" s="549" t="s">
        <v>521</v>
      </c>
      <c r="J482" s="549" t="s">
        <v>521</v>
      </c>
      <c r="K482" s="549" t="s">
        <v>521</v>
      </c>
      <c r="L482" s="549" t="s">
        <v>521</v>
      </c>
      <c r="M482" s="549" t="s">
        <v>521</v>
      </c>
      <c r="N482" s="549" t="s">
        <v>521</v>
      </c>
      <c r="P482" s="18" t="s">
        <v>89</v>
      </c>
    </row>
    <row r="483" spans="3:16" x14ac:dyDescent="0.25">
      <c r="C483" s="300"/>
      <c r="D483" s="857">
        <v>28</v>
      </c>
      <c r="E483" s="549" t="s">
        <v>521</v>
      </c>
      <c r="F483" s="549" t="s">
        <v>521</v>
      </c>
      <c r="G483" s="549" t="s">
        <v>521</v>
      </c>
      <c r="H483" s="549" t="s">
        <v>521</v>
      </c>
      <c r="I483" s="549" t="s">
        <v>521</v>
      </c>
      <c r="J483" s="549" t="s">
        <v>521</v>
      </c>
      <c r="K483" s="549" t="s">
        <v>521</v>
      </c>
      <c r="L483" s="549" t="s">
        <v>521</v>
      </c>
      <c r="M483" s="549" t="s">
        <v>521</v>
      </c>
      <c r="N483" s="549" t="s">
        <v>521</v>
      </c>
      <c r="P483" s="18" t="s">
        <v>89</v>
      </c>
    </row>
    <row r="484" spans="3:16" x14ac:dyDescent="0.25">
      <c r="C484" s="300"/>
      <c r="D484" s="857">
        <v>29</v>
      </c>
      <c r="E484" s="549" t="s">
        <v>521</v>
      </c>
      <c r="F484" s="549" t="s">
        <v>521</v>
      </c>
      <c r="G484" s="549" t="s">
        <v>521</v>
      </c>
      <c r="H484" s="549" t="s">
        <v>521</v>
      </c>
      <c r="I484" s="549" t="s">
        <v>521</v>
      </c>
      <c r="J484" s="549" t="s">
        <v>521</v>
      </c>
      <c r="K484" s="549" t="s">
        <v>521</v>
      </c>
      <c r="L484" s="549" t="s">
        <v>521</v>
      </c>
      <c r="M484" s="549" t="s">
        <v>521</v>
      </c>
      <c r="N484" s="549" t="s">
        <v>521</v>
      </c>
      <c r="P484" s="18" t="s">
        <v>89</v>
      </c>
    </row>
    <row r="485" spans="3:16" x14ac:dyDescent="0.25">
      <c r="C485" s="300"/>
      <c r="D485" s="857">
        <v>30</v>
      </c>
      <c r="E485" s="549" t="s">
        <v>521</v>
      </c>
      <c r="F485" s="549" t="s">
        <v>521</v>
      </c>
      <c r="G485" s="549" t="s">
        <v>521</v>
      </c>
      <c r="H485" s="549" t="s">
        <v>521</v>
      </c>
      <c r="I485" s="549" t="s">
        <v>521</v>
      </c>
      <c r="J485" s="549" t="s">
        <v>521</v>
      </c>
      <c r="K485" s="549" t="s">
        <v>521</v>
      </c>
      <c r="L485" s="549" t="s">
        <v>521</v>
      </c>
      <c r="M485" s="549" t="s">
        <v>521</v>
      </c>
      <c r="N485" s="549" t="s">
        <v>521</v>
      </c>
      <c r="P485" s="18" t="s">
        <v>89</v>
      </c>
    </row>
    <row r="486" spans="3:16" x14ac:dyDescent="0.25">
      <c r="C486" s="300"/>
      <c r="D486" s="857">
        <v>31</v>
      </c>
      <c r="E486" s="549" t="s">
        <v>521</v>
      </c>
      <c r="F486" s="549" t="s">
        <v>521</v>
      </c>
      <c r="G486" s="549" t="s">
        <v>521</v>
      </c>
      <c r="H486" s="549" t="s">
        <v>521</v>
      </c>
      <c r="I486" s="549" t="s">
        <v>521</v>
      </c>
      <c r="J486" s="549" t="s">
        <v>521</v>
      </c>
      <c r="K486" s="549" t="s">
        <v>521</v>
      </c>
      <c r="L486" s="549" t="s">
        <v>521</v>
      </c>
      <c r="M486" s="549" t="s">
        <v>521</v>
      </c>
      <c r="N486" s="549" t="s">
        <v>521</v>
      </c>
      <c r="P486" s="18" t="s">
        <v>89</v>
      </c>
    </row>
    <row r="487" spans="3:16" x14ac:dyDescent="0.25">
      <c r="C487" s="300"/>
      <c r="D487" s="857">
        <v>32</v>
      </c>
      <c r="E487" s="549" t="s">
        <v>521</v>
      </c>
      <c r="F487" s="549" t="s">
        <v>521</v>
      </c>
      <c r="G487" s="549" t="s">
        <v>521</v>
      </c>
      <c r="H487" s="549" t="s">
        <v>521</v>
      </c>
      <c r="I487" s="549" t="s">
        <v>521</v>
      </c>
      <c r="J487" s="549" t="s">
        <v>521</v>
      </c>
      <c r="K487" s="549" t="s">
        <v>521</v>
      </c>
      <c r="L487" s="549" t="s">
        <v>521</v>
      </c>
      <c r="M487" s="549" t="s">
        <v>521</v>
      </c>
      <c r="N487" s="549" t="s">
        <v>521</v>
      </c>
      <c r="P487" s="18" t="s">
        <v>89</v>
      </c>
    </row>
    <row r="488" spans="3:16" x14ac:dyDescent="0.25">
      <c r="C488" s="300"/>
      <c r="D488" s="857">
        <v>33</v>
      </c>
      <c r="E488" s="549" t="s">
        <v>521</v>
      </c>
      <c r="F488" s="549" t="s">
        <v>521</v>
      </c>
      <c r="G488" s="549" t="s">
        <v>521</v>
      </c>
      <c r="H488" s="549" t="s">
        <v>521</v>
      </c>
      <c r="I488" s="549" t="s">
        <v>521</v>
      </c>
      <c r="J488" s="549" t="s">
        <v>521</v>
      </c>
      <c r="K488" s="549" t="s">
        <v>521</v>
      </c>
      <c r="L488" s="549" t="s">
        <v>521</v>
      </c>
      <c r="M488" s="549" t="s">
        <v>521</v>
      </c>
      <c r="N488" s="549" t="s">
        <v>521</v>
      </c>
      <c r="P488" s="18" t="s">
        <v>89</v>
      </c>
    </row>
    <row r="489" spans="3:16" x14ac:dyDescent="0.25">
      <c r="C489" s="300"/>
      <c r="D489" s="857">
        <v>34</v>
      </c>
      <c r="E489" s="549" t="s">
        <v>521</v>
      </c>
      <c r="F489" s="549" t="s">
        <v>521</v>
      </c>
      <c r="G489" s="549" t="s">
        <v>521</v>
      </c>
      <c r="H489" s="549" t="s">
        <v>521</v>
      </c>
      <c r="I489" s="549" t="s">
        <v>521</v>
      </c>
      <c r="J489" s="549" t="s">
        <v>521</v>
      </c>
      <c r="K489" s="549" t="s">
        <v>521</v>
      </c>
      <c r="L489" s="549" t="s">
        <v>521</v>
      </c>
      <c r="M489" s="549" t="s">
        <v>521</v>
      </c>
      <c r="N489" s="549" t="s">
        <v>521</v>
      </c>
      <c r="P489" s="18" t="s">
        <v>89</v>
      </c>
    </row>
    <row r="490" spans="3:16" x14ac:dyDescent="0.25">
      <c r="C490" s="300"/>
      <c r="D490" s="857">
        <v>35</v>
      </c>
      <c r="E490" s="549" t="s">
        <v>521</v>
      </c>
      <c r="F490" s="549" t="s">
        <v>521</v>
      </c>
      <c r="G490" s="549" t="s">
        <v>521</v>
      </c>
      <c r="H490" s="549" t="s">
        <v>521</v>
      </c>
      <c r="I490" s="549" t="s">
        <v>521</v>
      </c>
      <c r="J490" s="549" t="s">
        <v>521</v>
      </c>
      <c r="K490" s="549" t="s">
        <v>521</v>
      </c>
      <c r="L490" s="549" t="s">
        <v>521</v>
      </c>
      <c r="M490" s="549" t="s">
        <v>521</v>
      </c>
      <c r="N490" s="549" t="s">
        <v>521</v>
      </c>
      <c r="P490" s="18" t="s">
        <v>89</v>
      </c>
    </row>
    <row r="491" spans="3:16" x14ac:dyDescent="0.25">
      <c r="C491" s="300"/>
      <c r="D491" s="857">
        <v>36</v>
      </c>
      <c r="E491" s="549" t="s">
        <v>521</v>
      </c>
      <c r="F491" s="549" t="s">
        <v>521</v>
      </c>
      <c r="G491" s="549" t="s">
        <v>521</v>
      </c>
      <c r="H491" s="549" t="s">
        <v>521</v>
      </c>
      <c r="I491" s="549" t="s">
        <v>521</v>
      </c>
      <c r="J491" s="549" t="s">
        <v>521</v>
      </c>
      <c r="K491" s="549" t="s">
        <v>521</v>
      </c>
      <c r="L491" s="549" t="s">
        <v>521</v>
      </c>
      <c r="M491" s="549" t="s">
        <v>521</v>
      </c>
      <c r="N491" s="549" t="s">
        <v>521</v>
      </c>
      <c r="P491" s="18" t="s">
        <v>89</v>
      </c>
    </row>
    <row r="492" spans="3:16" x14ac:dyDescent="0.25">
      <c r="C492" s="300"/>
      <c r="D492" s="857">
        <v>37</v>
      </c>
      <c r="E492" s="549" t="s">
        <v>521</v>
      </c>
      <c r="F492" s="549" t="s">
        <v>521</v>
      </c>
      <c r="G492" s="549" t="s">
        <v>521</v>
      </c>
      <c r="H492" s="549" t="s">
        <v>521</v>
      </c>
      <c r="I492" s="549" t="s">
        <v>521</v>
      </c>
      <c r="J492" s="549" t="s">
        <v>521</v>
      </c>
      <c r="K492" s="549" t="s">
        <v>521</v>
      </c>
      <c r="L492" s="549" t="s">
        <v>521</v>
      </c>
      <c r="M492" s="549" t="s">
        <v>521</v>
      </c>
      <c r="N492" s="549" t="s">
        <v>521</v>
      </c>
      <c r="P492" s="18" t="s">
        <v>89</v>
      </c>
    </row>
    <row r="493" spans="3:16" x14ac:dyDescent="0.25">
      <c r="C493" s="300"/>
      <c r="D493" s="857">
        <v>38</v>
      </c>
      <c r="E493" s="549" t="s">
        <v>521</v>
      </c>
      <c r="F493" s="549" t="s">
        <v>521</v>
      </c>
      <c r="G493" s="549" t="s">
        <v>521</v>
      </c>
      <c r="H493" s="549" t="s">
        <v>521</v>
      </c>
      <c r="I493" s="549" t="s">
        <v>521</v>
      </c>
      <c r="J493" s="549" t="s">
        <v>521</v>
      </c>
      <c r="K493" s="549" t="s">
        <v>521</v>
      </c>
      <c r="L493" s="549" t="s">
        <v>521</v>
      </c>
      <c r="M493" s="549" t="s">
        <v>521</v>
      </c>
      <c r="N493" s="549" t="s">
        <v>521</v>
      </c>
      <c r="P493" s="18" t="s">
        <v>89</v>
      </c>
    </row>
    <row r="494" spans="3:16" x14ac:dyDescent="0.25">
      <c r="C494" s="300"/>
      <c r="D494" s="857">
        <v>39</v>
      </c>
      <c r="E494" s="549" t="s">
        <v>521</v>
      </c>
      <c r="F494" s="549" t="s">
        <v>521</v>
      </c>
      <c r="G494" s="549" t="s">
        <v>521</v>
      </c>
      <c r="H494" s="549" t="s">
        <v>521</v>
      </c>
      <c r="I494" s="549" t="s">
        <v>521</v>
      </c>
      <c r="J494" s="549" t="s">
        <v>521</v>
      </c>
      <c r="K494" s="549" t="s">
        <v>521</v>
      </c>
      <c r="L494" s="549" t="s">
        <v>521</v>
      </c>
      <c r="M494" s="549" t="s">
        <v>521</v>
      </c>
      <c r="N494" s="549" t="s">
        <v>521</v>
      </c>
      <c r="P494" s="18" t="s">
        <v>89</v>
      </c>
    </row>
    <row r="495" spans="3:16" x14ac:dyDescent="0.25">
      <c r="C495" s="300"/>
      <c r="D495" s="857">
        <v>40</v>
      </c>
      <c r="E495" s="549" t="s">
        <v>521</v>
      </c>
      <c r="F495" s="549" t="s">
        <v>521</v>
      </c>
      <c r="G495" s="549" t="s">
        <v>521</v>
      </c>
      <c r="H495" s="549" t="s">
        <v>521</v>
      </c>
      <c r="I495" s="549" t="s">
        <v>521</v>
      </c>
      <c r="J495" s="549" t="s">
        <v>521</v>
      </c>
      <c r="K495" s="549" t="s">
        <v>521</v>
      </c>
      <c r="L495" s="549" t="s">
        <v>521</v>
      </c>
      <c r="M495" s="549" t="s">
        <v>521</v>
      </c>
      <c r="N495" s="549" t="s">
        <v>521</v>
      </c>
      <c r="P495" s="18" t="s">
        <v>89</v>
      </c>
    </row>
    <row r="496" spans="3:16" x14ac:dyDescent="0.25">
      <c r="C496" s="300"/>
      <c r="D496" s="857">
        <v>41</v>
      </c>
      <c r="E496" s="549" t="s">
        <v>521</v>
      </c>
      <c r="F496" s="549" t="s">
        <v>521</v>
      </c>
      <c r="G496" s="549" t="s">
        <v>521</v>
      </c>
      <c r="H496" s="549" t="s">
        <v>521</v>
      </c>
      <c r="I496" s="549" t="s">
        <v>521</v>
      </c>
      <c r="J496" s="549" t="s">
        <v>521</v>
      </c>
      <c r="K496" s="549" t="s">
        <v>521</v>
      </c>
      <c r="L496" s="549" t="s">
        <v>521</v>
      </c>
      <c r="M496" s="549" t="s">
        <v>521</v>
      </c>
      <c r="N496" s="549" t="s">
        <v>521</v>
      </c>
      <c r="P496" s="18" t="s">
        <v>89</v>
      </c>
    </row>
    <row r="497" spans="3:16" x14ac:dyDescent="0.25">
      <c r="C497" s="300"/>
      <c r="D497" s="857">
        <v>42</v>
      </c>
      <c r="E497" s="549" t="s">
        <v>521</v>
      </c>
      <c r="F497" s="549" t="s">
        <v>521</v>
      </c>
      <c r="G497" s="549" t="s">
        <v>521</v>
      </c>
      <c r="H497" s="549" t="s">
        <v>521</v>
      </c>
      <c r="I497" s="549" t="s">
        <v>521</v>
      </c>
      <c r="J497" s="549" t="s">
        <v>521</v>
      </c>
      <c r="K497" s="549" t="s">
        <v>521</v>
      </c>
      <c r="L497" s="549" t="s">
        <v>521</v>
      </c>
      <c r="M497" s="549" t="s">
        <v>521</v>
      </c>
      <c r="N497" s="549" t="s">
        <v>521</v>
      </c>
      <c r="P497" s="18" t="s">
        <v>89</v>
      </c>
    </row>
    <row r="498" spans="3:16" x14ac:dyDescent="0.25">
      <c r="C498" s="300"/>
      <c r="D498" s="857">
        <v>43</v>
      </c>
      <c r="E498" s="549" t="s">
        <v>521</v>
      </c>
      <c r="F498" s="549" t="s">
        <v>521</v>
      </c>
      <c r="G498" s="549" t="s">
        <v>521</v>
      </c>
      <c r="H498" s="549" t="s">
        <v>521</v>
      </c>
      <c r="I498" s="549" t="s">
        <v>521</v>
      </c>
      <c r="J498" s="549" t="s">
        <v>521</v>
      </c>
      <c r="K498" s="549" t="s">
        <v>521</v>
      </c>
      <c r="L498" s="549" t="s">
        <v>521</v>
      </c>
      <c r="M498" s="549" t="s">
        <v>521</v>
      </c>
      <c r="N498" s="549" t="s">
        <v>521</v>
      </c>
      <c r="P498" s="18" t="s">
        <v>89</v>
      </c>
    </row>
    <row r="499" spans="3:16" x14ac:dyDescent="0.25">
      <c r="C499" s="300"/>
      <c r="D499" s="857">
        <v>44</v>
      </c>
      <c r="E499" s="549" t="s">
        <v>521</v>
      </c>
      <c r="F499" s="549" t="s">
        <v>521</v>
      </c>
      <c r="G499" s="549" t="s">
        <v>521</v>
      </c>
      <c r="H499" s="549" t="s">
        <v>521</v>
      </c>
      <c r="I499" s="549" t="s">
        <v>521</v>
      </c>
      <c r="J499" s="549" t="s">
        <v>521</v>
      </c>
      <c r="K499" s="549" t="s">
        <v>521</v>
      </c>
      <c r="L499" s="549" t="s">
        <v>521</v>
      </c>
      <c r="M499" s="549" t="s">
        <v>521</v>
      </c>
      <c r="N499" s="549" t="s">
        <v>521</v>
      </c>
      <c r="P499" s="18" t="s">
        <v>89</v>
      </c>
    </row>
    <row r="500" spans="3:16" x14ac:dyDescent="0.25">
      <c r="C500" s="300"/>
      <c r="D500" s="857">
        <v>45</v>
      </c>
      <c r="E500" s="549" t="s">
        <v>521</v>
      </c>
      <c r="F500" s="549" t="s">
        <v>521</v>
      </c>
      <c r="G500" s="549" t="s">
        <v>521</v>
      </c>
      <c r="H500" s="549" t="s">
        <v>521</v>
      </c>
      <c r="I500" s="549" t="s">
        <v>521</v>
      </c>
      <c r="J500" s="549" t="s">
        <v>521</v>
      </c>
      <c r="K500" s="549" t="s">
        <v>521</v>
      </c>
      <c r="L500" s="549" t="s">
        <v>521</v>
      </c>
      <c r="M500" s="549" t="s">
        <v>521</v>
      </c>
      <c r="N500" s="549" t="s">
        <v>521</v>
      </c>
      <c r="P500" s="18" t="s">
        <v>89</v>
      </c>
    </row>
    <row r="501" spans="3:16" x14ac:dyDescent="0.25">
      <c r="C501" s="300"/>
      <c r="D501" s="857">
        <v>46</v>
      </c>
      <c r="E501" s="549" t="s">
        <v>521</v>
      </c>
      <c r="F501" s="549" t="s">
        <v>521</v>
      </c>
      <c r="G501" s="549" t="s">
        <v>521</v>
      </c>
      <c r="H501" s="549" t="s">
        <v>521</v>
      </c>
      <c r="I501" s="549" t="s">
        <v>521</v>
      </c>
      <c r="J501" s="549" t="s">
        <v>521</v>
      </c>
      <c r="K501" s="549" t="s">
        <v>521</v>
      </c>
      <c r="L501" s="549" t="s">
        <v>521</v>
      </c>
      <c r="M501" s="549" t="s">
        <v>521</v>
      </c>
      <c r="N501" s="549" t="s">
        <v>521</v>
      </c>
      <c r="P501" s="18" t="s">
        <v>89</v>
      </c>
    </row>
    <row r="502" spans="3:16" x14ac:dyDescent="0.25">
      <c r="C502" s="300"/>
      <c r="D502" s="857">
        <v>47</v>
      </c>
      <c r="E502" s="549" t="s">
        <v>521</v>
      </c>
      <c r="F502" s="549" t="s">
        <v>521</v>
      </c>
      <c r="G502" s="549" t="s">
        <v>521</v>
      </c>
      <c r="H502" s="549" t="s">
        <v>521</v>
      </c>
      <c r="I502" s="549" t="s">
        <v>521</v>
      </c>
      <c r="J502" s="549" t="s">
        <v>521</v>
      </c>
      <c r="K502" s="549" t="s">
        <v>521</v>
      </c>
      <c r="L502" s="549" t="s">
        <v>521</v>
      </c>
      <c r="M502" s="549" t="s">
        <v>521</v>
      </c>
      <c r="N502" s="549" t="s">
        <v>521</v>
      </c>
      <c r="P502" s="18" t="s">
        <v>89</v>
      </c>
    </row>
    <row r="503" spans="3:16" x14ac:dyDescent="0.25">
      <c r="C503" s="300"/>
      <c r="D503" s="857">
        <v>48</v>
      </c>
      <c r="E503" s="549" t="s">
        <v>521</v>
      </c>
      <c r="F503" s="549" t="s">
        <v>521</v>
      </c>
      <c r="G503" s="549" t="s">
        <v>521</v>
      </c>
      <c r="H503" s="549" t="s">
        <v>521</v>
      </c>
      <c r="I503" s="549" t="s">
        <v>521</v>
      </c>
      <c r="J503" s="549" t="s">
        <v>521</v>
      </c>
      <c r="K503" s="549" t="s">
        <v>521</v>
      </c>
      <c r="L503" s="549" t="s">
        <v>521</v>
      </c>
      <c r="M503" s="549" t="s">
        <v>521</v>
      </c>
      <c r="N503" s="549" t="s">
        <v>521</v>
      </c>
      <c r="P503" s="18" t="s">
        <v>89</v>
      </c>
    </row>
    <row r="504" spans="3:16" x14ac:dyDescent="0.25">
      <c r="C504" s="300"/>
      <c r="D504" s="857">
        <v>49</v>
      </c>
      <c r="E504" s="549" t="s">
        <v>521</v>
      </c>
      <c r="F504" s="549" t="s">
        <v>521</v>
      </c>
      <c r="G504" s="549" t="s">
        <v>521</v>
      </c>
      <c r="H504" s="549" t="s">
        <v>521</v>
      </c>
      <c r="I504" s="549" t="s">
        <v>521</v>
      </c>
      <c r="J504" s="549" t="s">
        <v>521</v>
      </c>
      <c r="K504" s="549" t="s">
        <v>521</v>
      </c>
      <c r="L504" s="549" t="s">
        <v>521</v>
      </c>
      <c r="M504" s="549" t="s">
        <v>521</v>
      </c>
      <c r="N504" s="549" t="s">
        <v>521</v>
      </c>
      <c r="P504" s="18" t="s">
        <v>89</v>
      </c>
    </row>
    <row r="505" spans="3:16" x14ac:dyDescent="0.25">
      <c r="C505" s="300"/>
      <c r="D505" s="857">
        <v>50</v>
      </c>
      <c r="E505" s="549" t="s">
        <v>521</v>
      </c>
      <c r="F505" s="549" t="s">
        <v>521</v>
      </c>
      <c r="G505" s="549" t="s">
        <v>521</v>
      </c>
      <c r="H505" s="549" t="s">
        <v>521</v>
      </c>
      <c r="I505" s="549" t="s">
        <v>521</v>
      </c>
      <c r="J505" s="549" t="s">
        <v>521</v>
      </c>
      <c r="K505" s="549" t="s">
        <v>521</v>
      </c>
      <c r="L505" s="549" t="s">
        <v>521</v>
      </c>
      <c r="M505" s="549" t="s">
        <v>521</v>
      </c>
      <c r="N505" s="549" t="s">
        <v>521</v>
      </c>
      <c r="P505" s="18" t="s">
        <v>89</v>
      </c>
    </row>
    <row r="506" spans="3:16" x14ac:dyDescent="0.25">
      <c r="C506" s="300"/>
      <c r="D506" s="857">
        <v>51</v>
      </c>
      <c r="E506" s="549" t="s">
        <v>521</v>
      </c>
      <c r="F506" s="549" t="s">
        <v>521</v>
      </c>
      <c r="G506" s="549" t="s">
        <v>521</v>
      </c>
      <c r="H506" s="549" t="s">
        <v>521</v>
      </c>
      <c r="I506" s="549" t="s">
        <v>521</v>
      </c>
      <c r="J506" s="549" t="s">
        <v>521</v>
      </c>
      <c r="K506" s="549" t="s">
        <v>521</v>
      </c>
      <c r="L506" s="549" t="s">
        <v>521</v>
      </c>
      <c r="M506" s="549" t="s">
        <v>521</v>
      </c>
      <c r="N506" s="549" t="s">
        <v>521</v>
      </c>
      <c r="P506" s="18" t="s">
        <v>89</v>
      </c>
    </row>
    <row r="507" spans="3:16" x14ac:dyDescent="0.25">
      <c r="C507" s="300"/>
      <c r="D507" s="857">
        <v>52</v>
      </c>
      <c r="E507" s="549" t="s">
        <v>521</v>
      </c>
      <c r="F507" s="549" t="s">
        <v>521</v>
      </c>
      <c r="G507" s="549" t="s">
        <v>521</v>
      </c>
      <c r="H507" s="549" t="s">
        <v>521</v>
      </c>
      <c r="I507" s="549" t="s">
        <v>521</v>
      </c>
      <c r="J507" s="549" t="s">
        <v>521</v>
      </c>
      <c r="K507" s="549" t="s">
        <v>521</v>
      </c>
      <c r="L507" s="549" t="s">
        <v>521</v>
      </c>
      <c r="M507" s="549" t="s">
        <v>521</v>
      </c>
      <c r="N507" s="549" t="s">
        <v>521</v>
      </c>
      <c r="P507" s="18" t="s">
        <v>89</v>
      </c>
    </row>
    <row r="508" spans="3:16" x14ac:dyDescent="0.25">
      <c r="C508" s="300"/>
      <c r="D508" s="857">
        <v>53</v>
      </c>
      <c r="E508" s="549" t="s">
        <v>521</v>
      </c>
      <c r="F508" s="549" t="s">
        <v>521</v>
      </c>
      <c r="G508" s="549" t="s">
        <v>521</v>
      </c>
      <c r="H508" s="549" t="s">
        <v>521</v>
      </c>
      <c r="I508" s="549" t="s">
        <v>521</v>
      </c>
      <c r="J508" s="549" t="s">
        <v>521</v>
      </c>
      <c r="K508" s="549" t="s">
        <v>521</v>
      </c>
      <c r="L508" s="549" t="s">
        <v>521</v>
      </c>
      <c r="M508" s="549" t="s">
        <v>521</v>
      </c>
      <c r="N508" s="549" t="s">
        <v>521</v>
      </c>
      <c r="P508" s="18" t="s">
        <v>89</v>
      </c>
    </row>
    <row r="509" spans="3:16" x14ac:dyDescent="0.25">
      <c r="C509" s="300"/>
      <c r="D509" s="857">
        <v>54</v>
      </c>
      <c r="E509" s="549" t="s">
        <v>521</v>
      </c>
      <c r="F509" s="549" t="s">
        <v>521</v>
      </c>
      <c r="G509" s="549" t="s">
        <v>521</v>
      </c>
      <c r="H509" s="549" t="s">
        <v>521</v>
      </c>
      <c r="I509" s="549" t="s">
        <v>521</v>
      </c>
      <c r="J509" s="549" t="s">
        <v>521</v>
      </c>
      <c r="K509" s="549" t="s">
        <v>521</v>
      </c>
      <c r="L509" s="549" t="s">
        <v>521</v>
      </c>
      <c r="M509" s="549" t="s">
        <v>521</v>
      </c>
      <c r="N509" s="549" t="s">
        <v>521</v>
      </c>
      <c r="P509" s="18" t="s">
        <v>89</v>
      </c>
    </row>
    <row r="510" spans="3:16" x14ac:dyDescent="0.25">
      <c r="C510" s="300"/>
      <c r="D510" s="857">
        <v>55</v>
      </c>
      <c r="E510" s="549" t="s">
        <v>521</v>
      </c>
      <c r="F510" s="549" t="s">
        <v>521</v>
      </c>
      <c r="G510" s="549" t="s">
        <v>521</v>
      </c>
      <c r="H510" s="549" t="s">
        <v>521</v>
      </c>
      <c r="I510" s="549" t="s">
        <v>521</v>
      </c>
      <c r="J510" s="549" t="s">
        <v>521</v>
      </c>
      <c r="K510" s="549" t="s">
        <v>521</v>
      </c>
      <c r="L510" s="549" t="s">
        <v>521</v>
      </c>
      <c r="M510" s="549" t="s">
        <v>521</v>
      </c>
      <c r="N510" s="549" t="s">
        <v>521</v>
      </c>
      <c r="P510" s="18" t="s">
        <v>89</v>
      </c>
    </row>
    <row r="511" spans="3:16" x14ac:dyDescent="0.25">
      <c r="C511" s="300"/>
      <c r="D511" s="857">
        <v>56</v>
      </c>
      <c r="E511" s="549" t="s">
        <v>521</v>
      </c>
      <c r="F511" s="549" t="s">
        <v>521</v>
      </c>
      <c r="G511" s="549" t="s">
        <v>521</v>
      </c>
      <c r="H511" s="549" t="s">
        <v>521</v>
      </c>
      <c r="I511" s="549" t="s">
        <v>521</v>
      </c>
      <c r="J511" s="549" t="s">
        <v>521</v>
      </c>
      <c r="K511" s="549" t="s">
        <v>521</v>
      </c>
      <c r="L511" s="549" t="s">
        <v>521</v>
      </c>
      <c r="M511" s="549" t="s">
        <v>521</v>
      </c>
      <c r="N511" s="549" t="s">
        <v>521</v>
      </c>
      <c r="P511" s="18" t="s">
        <v>89</v>
      </c>
    </row>
    <row r="512" spans="3:16" x14ac:dyDescent="0.25">
      <c r="C512" s="300"/>
      <c r="D512" s="857">
        <v>57</v>
      </c>
      <c r="E512" s="549" t="s">
        <v>521</v>
      </c>
      <c r="F512" s="549" t="s">
        <v>521</v>
      </c>
      <c r="G512" s="549" t="s">
        <v>521</v>
      </c>
      <c r="H512" s="549" t="s">
        <v>521</v>
      </c>
      <c r="I512" s="549" t="s">
        <v>521</v>
      </c>
      <c r="J512" s="549" t="s">
        <v>521</v>
      </c>
      <c r="K512" s="549" t="s">
        <v>521</v>
      </c>
      <c r="L512" s="549" t="s">
        <v>521</v>
      </c>
      <c r="M512" s="549" t="s">
        <v>521</v>
      </c>
      <c r="N512" s="549" t="s">
        <v>521</v>
      </c>
      <c r="P512" s="18" t="s">
        <v>89</v>
      </c>
    </row>
    <row r="513" spans="3:16" x14ac:dyDescent="0.25">
      <c r="C513" s="300"/>
      <c r="D513" s="857">
        <v>58</v>
      </c>
      <c r="E513" s="549" t="s">
        <v>521</v>
      </c>
      <c r="F513" s="549" t="s">
        <v>521</v>
      </c>
      <c r="G513" s="549" t="s">
        <v>521</v>
      </c>
      <c r="H513" s="549" t="s">
        <v>521</v>
      </c>
      <c r="I513" s="549" t="s">
        <v>521</v>
      </c>
      <c r="J513" s="549" t="s">
        <v>521</v>
      </c>
      <c r="K513" s="549" t="s">
        <v>521</v>
      </c>
      <c r="L513" s="549" t="s">
        <v>521</v>
      </c>
      <c r="M513" s="549" t="s">
        <v>521</v>
      </c>
      <c r="N513" s="549" t="s">
        <v>521</v>
      </c>
      <c r="P513" s="18" t="s">
        <v>89</v>
      </c>
    </row>
    <row r="514" spans="3:16" x14ac:dyDescent="0.25">
      <c r="C514" s="300"/>
      <c r="D514" s="857">
        <v>59</v>
      </c>
      <c r="E514" s="549" t="s">
        <v>521</v>
      </c>
      <c r="F514" s="549" t="s">
        <v>521</v>
      </c>
      <c r="G514" s="549" t="s">
        <v>521</v>
      </c>
      <c r="H514" s="549" t="s">
        <v>521</v>
      </c>
      <c r="I514" s="549" t="s">
        <v>521</v>
      </c>
      <c r="J514" s="549" t="s">
        <v>521</v>
      </c>
      <c r="K514" s="549" t="s">
        <v>521</v>
      </c>
      <c r="L514" s="549" t="s">
        <v>521</v>
      </c>
      <c r="M514" s="549" t="s">
        <v>521</v>
      </c>
      <c r="N514" s="549" t="s">
        <v>521</v>
      </c>
      <c r="P514" s="18" t="s">
        <v>89</v>
      </c>
    </row>
    <row r="515" spans="3:16" x14ac:dyDescent="0.25">
      <c r="C515" s="300"/>
      <c r="D515" s="857">
        <v>60</v>
      </c>
      <c r="E515" s="549" t="s">
        <v>521</v>
      </c>
      <c r="F515" s="549" t="s">
        <v>521</v>
      </c>
      <c r="G515" s="549" t="s">
        <v>521</v>
      </c>
      <c r="H515" s="549" t="s">
        <v>521</v>
      </c>
      <c r="I515" s="549" t="s">
        <v>521</v>
      </c>
      <c r="J515" s="549" t="s">
        <v>521</v>
      </c>
      <c r="K515" s="549" t="s">
        <v>521</v>
      </c>
      <c r="L515" s="549" t="s">
        <v>521</v>
      </c>
      <c r="M515" s="549" t="s">
        <v>521</v>
      </c>
      <c r="N515" s="549" t="s">
        <v>521</v>
      </c>
      <c r="P515" s="18" t="s">
        <v>89</v>
      </c>
    </row>
    <row r="516" spans="3:16" x14ac:dyDescent="0.25">
      <c r="C516" s="300"/>
      <c r="D516" s="857">
        <v>61</v>
      </c>
      <c r="E516" s="549" t="s">
        <v>521</v>
      </c>
      <c r="F516" s="549" t="s">
        <v>521</v>
      </c>
      <c r="G516" s="549" t="s">
        <v>521</v>
      </c>
      <c r="H516" s="549" t="s">
        <v>521</v>
      </c>
      <c r="I516" s="549" t="s">
        <v>521</v>
      </c>
      <c r="J516" s="549" t="s">
        <v>521</v>
      </c>
      <c r="K516" s="549" t="s">
        <v>521</v>
      </c>
      <c r="L516" s="549" t="s">
        <v>521</v>
      </c>
      <c r="M516" s="549" t="s">
        <v>521</v>
      </c>
      <c r="N516" s="549" t="s">
        <v>521</v>
      </c>
      <c r="P516" s="18" t="s">
        <v>89</v>
      </c>
    </row>
    <row r="517" spans="3:16" x14ac:dyDescent="0.25">
      <c r="C517" s="300"/>
      <c r="D517" s="857">
        <v>62</v>
      </c>
      <c r="E517" s="549" t="s">
        <v>521</v>
      </c>
      <c r="F517" s="549" t="s">
        <v>521</v>
      </c>
      <c r="G517" s="549" t="s">
        <v>521</v>
      </c>
      <c r="H517" s="549" t="s">
        <v>521</v>
      </c>
      <c r="I517" s="549" t="s">
        <v>521</v>
      </c>
      <c r="J517" s="549" t="s">
        <v>521</v>
      </c>
      <c r="K517" s="549" t="s">
        <v>521</v>
      </c>
      <c r="L517" s="549" t="s">
        <v>521</v>
      </c>
      <c r="M517" s="549" t="s">
        <v>521</v>
      </c>
      <c r="N517" s="549" t="s">
        <v>521</v>
      </c>
      <c r="P517" s="18" t="s">
        <v>89</v>
      </c>
    </row>
    <row r="518" spans="3:16" x14ac:dyDescent="0.25">
      <c r="C518" s="300"/>
      <c r="D518" s="857">
        <v>63</v>
      </c>
      <c r="E518" s="549" t="s">
        <v>521</v>
      </c>
      <c r="F518" s="549" t="s">
        <v>521</v>
      </c>
      <c r="G518" s="549" t="s">
        <v>521</v>
      </c>
      <c r="H518" s="549" t="s">
        <v>521</v>
      </c>
      <c r="I518" s="549" t="s">
        <v>521</v>
      </c>
      <c r="J518" s="549" t="s">
        <v>521</v>
      </c>
      <c r="K518" s="549" t="s">
        <v>521</v>
      </c>
      <c r="L518" s="549" t="s">
        <v>521</v>
      </c>
      <c r="M518" s="549" t="s">
        <v>521</v>
      </c>
      <c r="N518" s="549" t="s">
        <v>521</v>
      </c>
      <c r="P518" s="18" t="s">
        <v>89</v>
      </c>
    </row>
    <row r="519" spans="3:16" x14ac:dyDescent="0.25">
      <c r="C519" s="300"/>
      <c r="D519" s="857">
        <v>64</v>
      </c>
      <c r="E519" s="549" t="s">
        <v>521</v>
      </c>
      <c r="F519" s="549" t="s">
        <v>521</v>
      </c>
      <c r="G519" s="549" t="s">
        <v>521</v>
      </c>
      <c r="H519" s="549" t="s">
        <v>521</v>
      </c>
      <c r="I519" s="549" t="s">
        <v>521</v>
      </c>
      <c r="J519" s="549" t="s">
        <v>521</v>
      </c>
      <c r="K519" s="549" t="s">
        <v>521</v>
      </c>
      <c r="L519" s="549" t="s">
        <v>521</v>
      </c>
      <c r="M519" s="549" t="s">
        <v>521</v>
      </c>
      <c r="N519" s="549" t="s">
        <v>521</v>
      </c>
      <c r="P519" s="18" t="s">
        <v>89</v>
      </c>
    </row>
    <row r="520" spans="3:16" x14ac:dyDescent="0.25">
      <c r="C520" s="300"/>
      <c r="D520" s="857">
        <v>65</v>
      </c>
      <c r="E520" s="549" t="s">
        <v>521</v>
      </c>
      <c r="F520" s="549" t="s">
        <v>521</v>
      </c>
      <c r="G520" s="549" t="s">
        <v>521</v>
      </c>
      <c r="H520" s="549" t="s">
        <v>521</v>
      </c>
      <c r="I520" s="549" t="s">
        <v>521</v>
      </c>
      <c r="J520" s="549" t="s">
        <v>521</v>
      </c>
      <c r="K520" s="549" t="s">
        <v>521</v>
      </c>
      <c r="L520" s="549" t="s">
        <v>521</v>
      </c>
      <c r="M520" s="549" t="s">
        <v>521</v>
      </c>
      <c r="N520" s="549" t="s">
        <v>521</v>
      </c>
      <c r="P520" s="18" t="s">
        <v>89</v>
      </c>
    </row>
    <row r="521" spans="3:16" x14ac:dyDescent="0.25">
      <c r="C521" s="300"/>
      <c r="D521" s="857">
        <v>66</v>
      </c>
      <c r="E521" s="549" t="s">
        <v>521</v>
      </c>
      <c r="F521" s="549" t="s">
        <v>521</v>
      </c>
      <c r="G521" s="549" t="s">
        <v>521</v>
      </c>
      <c r="H521" s="549" t="s">
        <v>521</v>
      </c>
      <c r="I521" s="549" t="s">
        <v>521</v>
      </c>
      <c r="J521" s="549" t="s">
        <v>521</v>
      </c>
      <c r="K521" s="549" t="s">
        <v>521</v>
      </c>
      <c r="L521" s="549" t="s">
        <v>521</v>
      </c>
      <c r="M521" s="549" t="s">
        <v>521</v>
      </c>
      <c r="N521" s="549" t="s">
        <v>521</v>
      </c>
      <c r="P521" s="18" t="s">
        <v>89</v>
      </c>
    </row>
    <row r="522" spans="3:16" x14ac:dyDescent="0.25">
      <c r="C522" s="300"/>
      <c r="D522" s="857">
        <v>67</v>
      </c>
      <c r="E522" s="549" t="s">
        <v>521</v>
      </c>
      <c r="F522" s="549" t="s">
        <v>521</v>
      </c>
      <c r="G522" s="549" t="s">
        <v>521</v>
      </c>
      <c r="H522" s="549" t="s">
        <v>521</v>
      </c>
      <c r="I522" s="549" t="s">
        <v>521</v>
      </c>
      <c r="J522" s="549" t="s">
        <v>521</v>
      </c>
      <c r="K522" s="549" t="s">
        <v>521</v>
      </c>
      <c r="L522" s="549" t="s">
        <v>521</v>
      </c>
      <c r="M522" s="549" t="s">
        <v>521</v>
      </c>
      <c r="N522" s="549" t="s">
        <v>521</v>
      </c>
      <c r="P522" s="18" t="s">
        <v>89</v>
      </c>
    </row>
    <row r="523" spans="3:16" x14ac:dyDescent="0.25">
      <c r="C523" s="300"/>
      <c r="D523" s="857">
        <v>68</v>
      </c>
      <c r="E523" s="549" t="s">
        <v>521</v>
      </c>
      <c r="F523" s="549" t="s">
        <v>521</v>
      </c>
      <c r="G523" s="549" t="s">
        <v>521</v>
      </c>
      <c r="H523" s="549" t="s">
        <v>521</v>
      </c>
      <c r="I523" s="549" t="s">
        <v>521</v>
      </c>
      <c r="J523" s="549" t="s">
        <v>521</v>
      </c>
      <c r="K523" s="549" t="s">
        <v>521</v>
      </c>
      <c r="L523" s="549" t="s">
        <v>521</v>
      </c>
      <c r="M523" s="549" t="s">
        <v>521</v>
      </c>
      <c r="N523" s="549" t="s">
        <v>521</v>
      </c>
      <c r="P523" s="18" t="s">
        <v>89</v>
      </c>
    </row>
    <row r="524" spans="3:16" x14ac:dyDescent="0.25">
      <c r="C524" s="300"/>
      <c r="D524" s="857">
        <v>69</v>
      </c>
      <c r="E524" s="549" t="s">
        <v>521</v>
      </c>
      <c r="F524" s="549" t="s">
        <v>521</v>
      </c>
      <c r="G524" s="549" t="s">
        <v>521</v>
      </c>
      <c r="H524" s="549" t="s">
        <v>521</v>
      </c>
      <c r="I524" s="549" t="s">
        <v>521</v>
      </c>
      <c r="J524" s="549" t="s">
        <v>521</v>
      </c>
      <c r="K524" s="549" t="s">
        <v>521</v>
      </c>
      <c r="L524" s="549" t="s">
        <v>521</v>
      </c>
      <c r="M524" s="549" t="s">
        <v>521</v>
      </c>
      <c r="N524" s="549" t="s">
        <v>521</v>
      </c>
      <c r="P524" s="18" t="s">
        <v>89</v>
      </c>
    </row>
    <row r="525" spans="3:16" x14ac:dyDescent="0.25">
      <c r="C525" s="300"/>
      <c r="D525" s="857">
        <v>70</v>
      </c>
      <c r="E525" s="549" t="s">
        <v>521</v>
      </c>
      <c r="F525" s="549" t="s">
        <v>521</v>
      </c>
      <c r="G525" s="549" t="s">
        <v>521</v>
      </c>
      <c r="H525" s="549" t="s">
        <v>521</v>
      </c>
      <c r="I525" s="549" t="s">
        <v>521</v>
      </c>
      <c r="J525" s="549" t="s">
        <v>521</v>
      </c>
      <c r="K525" s="549" t="s">
        <v>521</v>
      </c>
      <c r="L525" s="549" t="s">
        <v>521</v>
      </c>
      <c r="M525" s="549" t="s">
        <v>521</v>
      </c>
      <c r="N525" s="549" t="s">
        <v>521</v>
      </c>
      <c r="P525" s="18" t="s">
        <v>89</v>
      </c>
    </row>
    <row r="526" spans="3:16" x14ac:dyDescent="0.25">
      <c r="C526" s="300"/>
      <c r="D526" s="857">
        <v>71</v>
      </c>
      <c r="E526" s="549" t="s">
        <v>521</v>
      </c>
      <c r="F526" s="549" t="s">
        <v>521</v>
      </c>
      <c r="G526" s="549" t="s">
        <v>521</v>
      </c>
      <c r="H526" s="549" t="s">
        <v>521</v>
      </c>
      <c r="I526" s="549" t="s">
        <v>521</v>
      </c>
      <c r="J526" s="549" t="s">
        <v>521</v>
      </c>
      <c r="K526" s="549" t="s">
        <v>521</v>
      </c>
      <c r="L526" s="549" t="s">
        <v>521</v>
      </c>
      <c r="M526" s="549" t="s">
        <v>521</v>
      </c>
      <c r="N526" s="549" t="s">
        <v>521</v>
      </c>
      <c r="P526" s="18" t="s">
        <v>89</v>
      </c>
    </row>
    <row r="527" spans="3:16" x14ac:dyDescent="0.25">
      <c r="C527" s="300"/>
      <c r="D527" s="857">
        <v>72</v>
      </c>
      <c r="E527" s="549" t="s">
        <v>521</v>
      </c>
      <c r="F527" s="549" t="s">
        <v>521</v>
      </c>
      <c r="G527" s="549" t="s">
        <v>521</v>
      </c>
      <c r="H527" s="549" t="s">
        <v>521</v>
      </c>
      <c r="I527" s="549" t="s">
        <v>521</v>
      </c>
      <c r="J527" s="549" t="s">
        <v>521</v>
      </c>
      <c r="K527" s="549" t="s">
        <v>521</v>
      </c>
      <c r="L527" s="549" t="s">
        <v>521</v>
      </c>
      <c r="M527" s="549" t="s">
        <v>521</v>
      </c>
      <c r="N527" s="549" t="s">
        <v>521</v>
      </c>
      <c r="P527" s="18" t="s">
        <v>89</v>
      </c>
    </row>
    <row r="528" spans="3:16" x14ac:dyDescent="0.25">
      <c r="C528" s="300"/>
      <c r="D528" s="857">
        <v>73</v>
      </c>
      <c r="E528" s="549" t="s">
        <v>521</v>
      </c>
      <c r="F528" s="549" t="s">
        <v>521</v>
      </c>
      <c r="G528" s="549" t="s">
        <v>521</v>
      </c>
      <c r="H528" s="549" t="s">
        <v>521</v>
      </c>
      <c r="I528" s="549" t="s">
        <v>521</v>
      </c>
      <c r="J528" s="549" t="s">
        <v>521</v>
      </c>
      <c r="K528" s="549" t="s">
        <v>521</v>
      </c>
      <c r="L528" s="549" t="s">
        <v>521</v>
      </c>
      <c r="M528" s="549" t="s">
        <v>521</v>
      </c>
      <c r="N528" s="549" t="s">
        <v>521</v>
      </c>
      <c r="P528" s="18" t="s">
        <v>89</v>
      </c>
    </row>
    <row r="529" spans="3:16" x14ac:dyDescent="0.25">
      <c r="C529" s="300"/>
      <c r="D529" s="857">
        <v>74</v>
      </c>
      <c r="E529" s="549" t="s">
        <v>521</v>
      </c>
      <c r="F529" s="549" t="s">
        <v>521</v>
      </c>
      <c r="G529" s="549" t="s">
        <v>521</v>
      </c>
      <c r="H529" s="549" t="s">
        <v>521</v>
      </c>
      <c r="I529" s="549" t="s">
        <v>521</v>
      </c>
      <c r="J529" s="549" t="s">
        <v>521</v>
      </c>
      <c r="K529" s="549" t="s">
        <v>521</v>
      </c>
      <c r="L529" s="549" t="s">
        <v>521</v>
      </c>
      <c r="M529" s="549" t="s">
        <v>521</v>
      </c>
      <c r="N529" s="549" t="s">
        <v>521</v>
      </c>
      <c r="P529" s="18" t="s">
        <v>89</v>
      </c>
    </row>
    <row r="530" spans="3:16" x14ac:dyDescent="0.25">
      <c r="C530" s="300"/>
      <c r="D530" s="857">
        <v>75</v>
      </c>
      <c r="E530" s="549" t="s">
        <v>521</v>
      </c>
      <c r="F530" s="549" t="s">
        <v>521</v>
      </c>
      <c r="G530" s="549" t="s">
        <v>521</v>
      </c>
      <c r="H530" s="549" t="s">
        <v>521</v>
      </c>
      <c r="I530" s="549" t="s">
        <v>521</v>
      </c>
      <c r="J530" s="549" t="s">
        <v>521</v>
      </c>
      <c r="K530" s="549" t="s">
        <v>521</v>
      </c>
      <c r="L530" s="549" t="s">
        <v>521</v>
      </c>
      <c r="M530" s="549" t="s">
        <v>521</v>
      </c>
      <c r="N530" s="549" t="s">
        <v>521</v>
      </c>
      <c r="P530" s="18" t="s">
        <v>89</v>
      </c>
    </row>
    <row r="531" spans="3:16" x14ac:dyDescent="0.25">
      <c r="C531" s="300"/>
      <c r="D531" s="857">
        <v>76</v>
      </c>
      <c r="E531" s="549" t="s">
        <v>521</v>
      </c>
      <c r="F531" s="549" t="s">
        <v>521</v>
      </c>
      <c r="G531" s="549" t="s">
        <v>521</v>
      </c>
      <c r="H531" s="549" t="s">
        <v>521</v>
      </c>
      <c r="I531" s="549" t="s">
        <v>521</v>
      </c>
      <c r="J531" s="549" t="s">
        <v>521</v>
      </c>
      <c r="K531" s="549" t="s">
        <v>521</v>
      </c>
      <c r="L531" s="549" t="s">
        <v>521</v>
      </c>
      <c r="M531" s="549" t="s">
        <v>521</v>
      </c>
      <c r="N531" s="549" t="s">
        <v>521</v>
      </c>
      <c r="P531" s="18" t="s">
        <v>89</v>
      </c>
    </row>
    <row r="532" spans="3:16" x14ac:dyDescent="0.25">
      <c r="C532" s="300"/>
      <c r="D532" s="857">
        <v>77</v>
      </c>
      <c r="E532" s="549" t="s">
        <v>521</v>
      </c>
      <c r="F532" s="549" t="s">
        <v>521</v>
      </c>
      <c r="G532" s="549" t="s">
        <v>521</v>
      </c>
      <c r="H532" s="549" t="s">
        <v>521</v>
      </c>
      <c r="I532" s="549" t="s">
        <v>521</v>
      </c>
      <c r="J532" s="549" t="s">
        <v>521</v>
      </c>
      <c r="K532" s="549" t="s">
        <v>521</v>
      </c>
      <c r="L532" s="549" t="s">
        <v>521</v>
      </c>
      <c r="M532" s="549" t="s">
        <v>521</v>
      </c>
      <c r="N532" s="549" t="s">
        <v>521</v>
      </c>
      <c r="P532" s="18" t="s">
        <v>89</v>
      </c>
    </row>
    <row r="533" spans="3:16" x14ac:dyDescent="0.25">
      <c r="C533" s="300"/>
      <c r="D533" s="857">
        <v>78</v>
      </c>
      <c r="E533" s="549" t="s">
        <v>521</v>
      </c>
      <c r="F533" s="549" t="s">
        <v>521</v>
      </c>
      <c r="G533" s="549" t="s">
        <v>521</v>
      </c>
      <c r="H533" s="549" t="s">
        <v>521</v>
      </c>
      <c r="I533" s="549" t="s">
        <v>521</v>
      </c>
      <c r="J533" s="549" t="s">
        <v>521</v>
      </c>
      <c r="K533" s="549" t="s">
        <v>521</v>
      </c>
      <c r="L533" s="549" t="s">
        <v>521</v>
      </c>
      <c r="M533" s="549" t="s">
        <v>521</v>
      </c>
      <c r="N533" s="549" t="s">
        <v>521</v>
      </c>
      <c r="P533" s="18" t="s">
        <v>89</v>
      </c>
    </row>
    <row r="534" spans="3:16" x14ac:dyDescent="0.25">
      <c r="C534" s="300"/>
      <c r="D534" s="857">
        <v>79</v>
      </c>
      <c r="E534" s="549" t="s">
        <v>521</v>
      </c>
      <c r="F534" s="549" t="s">
        <v>521</v>
      </c>
      <c r="G534" s="549" t="s">
        <v>521</v>
      </c>
      <c r="H534" s="549" t="s">
        <v>521</v>
      </c>
      <c r="I534" s="549" t="s">
        <v>521</v>
      </c>
      <c r="J534" s="549" t="s">
        <v>521</v>
      </c>
      <c r="K534" s="549" t="s">
        <v>521</v>
      </c>
      <c r="L534" s="549" t="s">
        <v>521</v>
      </c>
      <c r="M534" s="549" t="s">
        <v>521</v>
      </c>
      <c r="N534" s="549" t="s">
        <v>521</v>
      </c>
      <c r="P534" s="18" t="s">
        <v>89</v>
      </c>
    </row>
    <row r="535" spans="3:16" x14ac:dyDescent="0.25">
      <c r="C535" s="300"/>
      <c r="D535" s="857">
        <v>80</v>
      </c>
      <c r="E535" s="549" t="s">
        <v>521</v>
      </c>
      <c r="F535" s="549" t="s">
        <v>521</v>
      </c>
      <c r="G535" s="549" t="s">
        <v>521</v>
      </c>
      <c r="H535" s="549" t="s">
        <v>521</v>
      </c>
      <c r="I535" s="549" t="s">
        <v>521</v>
      </c>
      <c r="J535" s="549" t="s">
        <v>521</v>
      </c>
      <c r="K535" s="549" t="s">
        <v>521</v>
      </c>
      <c r="L535" s="549" t="s">
        <v>521</v>
      </c>
      <c r="M535" s="549" t="s">
        <v>521</v>
      </c>
      <c r="N535" s="549" t="s">
        <v>521</v>
      </c>
      <c r="P535" s="18" t="s">
        <v>89</v>
      </c>
    </row>
    <row r="536" spans="3:16" x14ac:dyDescent="0.25">
      <c r="C536" s="300"/>
      <c r="D536" s="857">
        <v>81</v>
      </c>
      <c r="E536" s="549" t="s">
        <v>521</v>
      </c>
      <c r="F536" s="549" t="s">
        <v>521</v>
      </c>
      <c r="G536" s="549" t="s">
        <v>521</v>
      </c>
      <c r="H536" s="549" t="s">
        <v>521</v>
      </c>
      <c r="I536" s="549" t="s">
        <v>521</v>
      </c>
      <c r="J536" s="549" t="s">
        <v>521</v>
      </c>
      <c r="K536" s="549" t="s">
        <v>521</v>
      </c>
      <c r="L536" s="549" t="s">
        <v>521</v>
      </c>
      <c r="M536" s="549" t="s">
        <v>521</v>
      </c>
      <c r="N536" s="549" t="s">
        <v>521</v>
      </c>
      <c r="P536" s="18" t="s">
        <v>89</v>
      </c>
    </row>
    <row r="537" spans="3:16" x14ac:dyDescent="0.25">
      <c r="C537" s="300"/>
      <c r="D537" s="857">
        <v>82</v>
      </c>
      <c r="E537" s="549" t="s">
        <v>521</v>
      </c>
      <c r="F537" s="549" t="s">
        <v>521</v>
      </c>
      <c r="G537" s="549" t="s">
        <v>521</v>
      </c>
      <c r="H537" s="549" t="s">
        <v>521</v>
      </c>
      <c r="I537" s="549" t="s">
        <v>521</v>
      </c>
      <c r="J537" s="549" t="s">
        <v>521</v>
      </c>
      <c r="K537" s="549" t="s">
        <v>521</v>
      </c>
      <c r="L537" s="549" t="s">
        <v>521</v>
      </c>
      <c r="M537" s="549" t="s">
        <v>521</v>
      </c>
      <c r="N537" s="549" t="s">
        <v>521</v>
      </c>
      <c r="P537" s="18" t="s">
        <v>89</v>
      </c>
    </row>
    <row r="538" spans="3:16" x14ac:dyDescent="0.25">
      <c r="C538" s="300"/>
      <c r="D538" s="857">
        <v>83</v>
      </c>
      <c r="E538" s="549" t="s">
        <v>521</v>
      </c>
      <c r="F538" s="549" t="s">
        <v>521</v>
      </c>
      <c r="G538" s="549" t="s">
        <v>521</v>
      </c>
      <c r="H538" s="549" t="s">
        <v>521</v>
      </c>
      <c r="I538" s="549" t="s">
        <v>521</v>
      </c>
      <c r="J538" s="549" t="s">
        <v>521</v>
      </c>
      <c r="K538" s="549" t="s">
        <v>521</v>
      </c>
      <c r="L538" s="549" t="s">
        <v>521</v>
      </c>
      <c r="M538" s="549" t="s">
        <v>521</v>
      </c>
      <c r="N538" s="549" t="s">
        <v>521</v>
      </c>
      <c r="P538" s="18" t="s">
        <v>89</v>
      </c>
    </row>
    <row r="539" spans="3:16" x14ac:dyDescent="0.25">
      <c r="C539" s="300"/>
      <c r="D539" s="857">
        <v>84</v>
      </c>
      <c r="E539" s="549" t="s">
        <v>521</v>
      </c>
      <c r="F539" s="549" t="s">
        <v>521</v>
      </c>
      <c r="G539" s="549" t="s">
        <v>521</v>
      </c>
      <c r="H539" s="549" t="s">
        <v>521</v>
      </c>
      <c r="I539" s="549" t="s">
        <v>521</v>
      </c>
      <c r="J539" s="549" t="s">
        <v>521</v>
      </c>
      <c r="K539" s="549" t="s">
        <v>521</v>
      </c>
      <c r="L539" s="549" t="s">
        <v>521</v>
      </c>
      <c r="M539" s="549" t="s">
        <v>521</v>
      </c>
      <c r="N539" s="549" t="s">
        <v>521</v>
      </c>
      <c r="P539" s="18" t="s">
        <v>89</v>
      </c>
    </row>
    <row r="540" spans="3:16" x14ac:dyDescent="0.25">
      <c r="C540" s="300"/>
      <c r="D540" s="857">
        <v>85</v>
      </c>
      <c r="E540" s="549" t="s">
        <v>521</v>
      </c>
      <c r="F540" s="549" t="s">
        <v>521</v>
      </c>
      <c r="G540" s="549" t="s">
        <v>521</v>
      </c>
      <c r="H540" s="549" t="s">
        <v>521</v>
      </c>
      <c r="I540" s="549" t="s">
        <v>521</v>
      </c>
      <c r="J540" s="549" t="s">
        <v>521</v>
      </c>
      <c r="K540" s="549" t="s">
        <v>521</v>
      </c>
      <c r="L540" s="549" t="s">
        <v>521</v>
      </c>
      <c r="M540" s="549" t="s">
        <v>521</v>
      </c>
      <c r="N540" s="549" t="s">
        <v>521</v>
      </c>
      <c r="P540" s="18" t="s">
        <v>89</v>
      </c>
    </row>
    <row r="541" spans="3:16" x14ac:dyDescent="0.25">
      <c r="C541" s="300"/>
      <c r="D541" s="857">
        <v>86</v>
      </c>
      <c r="E541" s="549" t="s">
        <v>521</v>
      </c>
      <c r="F541" s="549" t="s">
        <v>521</v>
      </c>
      <c r="G541" s="549" t="s">
        <v>521</v>
      </c>
      <c r="H541" s="549" t="s">
        <v>521</v>
      </c>
      <c r="I541" s="549" t="s">
        <v>521</v>
      </c>
      <c r="J541" s="549" t="s">
        <v>521</v>
      </c>
      <c r="K541" s="549" t="s">
        <v>521</v>
      </c>
      <c r="L541" s="549" t="s">
        <v>521</v>
      </c>
      <c r="M541" s="549" t="s">
        <v>521</v>
      </c>
      <c r="N541" s="549" t="s">
        <v>521</v>
      </c>
      <c r="P541" s="18" t="s">
        <v>89</v>
      </c>
    </row>
    <row r="542" spans="3:16" x14ac:dyDescent="0.25">
      <c r="C542" s="300"/>
      <c r="D542" s="857">
        <v>87</v>
      </c>
      <c r="E542" s="549" t="s">
        <v>521</v>
      </c>
      <c r="F542" s="549" t="s">
        <v>521</v>
      </c>
      <c r="G542" s="549" t="s">
        <v>521</v>
      </c>
      <c r="H542" s="549" t="s">
        <v>521</v>
      </c>
      <c r="I542" s="549" t="s">
        <v>521</v>
      </c>
      <c r="J542" s="549" t="s">
        <v>521</v>
      </c>
      <c r="K542" s="549" t="s">
        <v>521</v>
      </c>
      <c r="L542" s="549" t="s">
        <v>521</v>
      </c>
      <c r="M542" s="549" t="s">
        <v>521</v>
      </c>
      <c r="N542" s="549" t="s">
        <v>521</v>
      </c>
      <c r="P542" s="18" t="s">
        <v>89</v>
      </c>
    </row>
    <row r="543" spans="3:16" x14ac:dyDescent="0.25">
      <c r="C543" s="300"/>
      <c r="D543" s="857">
        <v>88</v>
      </c>
      <c r="E543" s="549" t="s">
        <v>521</v>
      </c>
      <c r="F543" s="549" t="s">
        <v>521</v>
      </c>
      <c r="G543" s="549" t="s">
        <v>521</v>
      </c>
      <c r="H543" s="549" t="s">
        <v>521</v>
      </c>
      <c r="I543" s="549" t="s">
        <v>521</v>
      </c>
      <c r="J543" s="549" t="s">
        <v>521</v>
      </c>
      <c r="K543" s="549" t="s">
        <v>521</v>
      </c>
      <c r="L543" s="549" t="s">
        <v>521</v>
      </c>
      <c r="M543" s="549" t="s">
        <v>521</v>
      </c>
      <c r="N543" s="549" t="s">
        <v>521</v>
      </c>
      <c r="P543" s="18" t="s">
        <v>89</v>
      </c>
    </row>
    <row r="544" spans="3:16" x14ac:dyDescent="0.25">
      <c r="C544" s="300"/>
      <c r="D544" s="857">
        <v>89</v>
      </c>
      <c r="E544" s="549" t="s">
        <v>521</v>
      </c>
      <c r="F544" s="549" t="s">
        <v>521</v>
      </c>
      <c r="G544" s="549" t="s">
        <v>521</v>
      </c>
      <c r="H544" s="549" t="s">
        <v>521</v>
      </c>
      <c r="I544" s="549" t="s">
        <v>521</v>
      </c>
      <c r="J544" s="549" t="s">
        <v>521</v>
      </c>
      <c r="K544" s="549" t="s">
        <v>521</v>
      </c>
      <c r="L544" s="549" t="s">
        <v>521</v>
      </c>
      <c r="M544" s="549" t="s">
        <v>521</v>
      </c>
      <c r="N544" s="549" t="s">
        <v>521</v>
      </c>
      <c r="P544" s="18" t="s">
        <v>89</v>
      </c>
    </row>
    <row r="545" spans="3:16" x14ac:dyDescent="0.25">
      <c r="C545" s="300"/>
      <c r="D545" s="858" t="s">
        <v>509</v>
      </c>
      <c r="E545" s="550" t="s">
        <v>521</v>
      </c>
      <c r="F545" s="550" t="s">
        <v>521</v>
      </c>
      <c r="G545" s="550" t="s">
        <v>521</v>
      </c>
      <c r="H545" s="550" t="s">
        <v>521</v>
      </c>
      <c r="I545" s="550" t="s">
        <v>521</v>
      </c>
      <c r="J545" s="550" t="s">
        <v>521</v>
      </c>
      <c r="K545" s="550" t="s">
        <v>521</v>
      </c>
      <c r="L545" s="550" t="s">
        <v>521</v>
      </c>
      <c r="M545" s="550" t="s">
        <v>521</v>
      </c>
      <c r="N545" s="550" t="s">
        <v>521</v>
      </c>
      <c r="P545" s="18" t="s">
        <v>89</v>
      </c>
    </row>
    <row r="546" spans="3:16" x14ac:dyDescent="0.25">
      <c r="P546" s="18" t="s">
        <v>89</v>
      </c>
    </row>
    <row r="547" spans="3:16" x14ac:dyDescent="0.25">
      <c r="C547" s="300"/>
      <c r="E547" s="300"/>
      <c r="F547" s="300"/>
      <c r="G547" s="300"/>
      <c r="H547" s="300"/>
      <c r="I547" s="300"/>
      <c r="J547" s="300"/>
      <c r="K547" s="300"/>
      <c r="P547" s="18" t="s">
        <v>89</v>
      </c>
    </row>
    <row r="548" spans="3:16" x14ac:dyDescent="0.25">
      <c r="C548" s="18" t="s">
        <v>89</v>
      </c>
      <c r="D548" s="18" t="s">
        <v>89</v>
      </c>
      <c r="E548" s="18" t="s">
        <v>89</v>
      </c>
      <c r="F548" s="18" t="s">
        <v>89</v>
      </c>
      <c r="G548" s="18" t="s">
        <v>89</v>
      </c>
      <c r="H548" s="18" t="s">
        <v>89</v>
      </c>
      <c r="I548" s="18" t="s">
        <v>89</v>
      </c>
      <c r="J548" s="18" t="s">
        <v>89</v>
      </c>
      <c r="K548" s="18" t="s">
        <v>89</v>
      </c>
      <c r="L548" s="18" t="s">
        <v>89</v>
      </c>
      <c r="M548" s="18" t="s">
        <v>89</v>
      </c>
      <c r="N548" s="18" t="s">
        <v>89</v>
      </c>
      <c r="O548" s="18" t="s">
        <v>89</v>
      </c>
      <c r="P548" s="18" t="s">
        <v>89</v>
      </c>
    </row>
  </sheetData>
  <mergeCells count="86">
    <mergeCell ref="F166:F167"/>
    <mergeCell ref="E166:E167"/>
    <mergeCell ref="K166:K167"/>
    <mergeCell ref="D166:D167"/>
    <mergeCell ref="N157:O157"/>
    <mergeCell ref="N158:O158"/>
    <mergeCell ref="C161:D162"/>
    <mergeCell ref="N155:O155"/>
    <mergeCell ref="N156:O156"/>
    <mergeCell ref="N147:O147"/>
    <mergeCell ref="N148:O148"/>
    <mergeCell ref="N149:O149"/>
    <mergeCell ref="N150:O150"/>
    <mergeCell ref="N151:O151"/>
    <mergeCell ref="N152:O152"/>
    <mergeCell ref="N153:O153"/>
    <mergeCell ref="N154:O154"/>
    <mergeCell ref="N137:O137"/>
    <mergeCell ref="N138:O138"/>
    <mergeCell ref="N139:O139"/>
    <mergeCell ref="N140:O140"/>
    <mergeCell ref="N141:O141"/>
    <mergeCell ref="N142:O142"/>
    <mergeCell ref="N143:O143"/>
    <mergeCell ref="N144:O144"/>
    <mergeCell ref="N145:O145"/>
    <mergeCell ref="N146:O146"/>
    <mergeCell ref="N133:O133"/>
    <mergeCell ref="N134:O134"/>
    <mergeCell ref="N135:O135"/>
    <mergeCell ref="N136:O136"/>
    <mergeCell ref="N127:O127"/>
    <mergeCell ref="N128:O128"/>
    <mergeCell ref="N129:O129"/>
    <mergeCell ref="N130:O130"/>
    <mergeCell ref="N131:O131"/>
    <mergeCell ref="N118:O118"/>
    <mergeCell ref="N119:O119"/>
    <mergeCell ref="N120:O120"/>
    <mergeCell ref="N121:O121"/>
    <mergeCell ref="N132:O132"/>
    <mergeCell ref="N122:O122"/>
    <mergeCell ref="N123:O123"/>
    <mergeCell ref="N124:O124"/>
    <mergeCell ref="N125:O125"/>
    <mergeCell ref="N126:O126"/>
    <mergeCell ref="H36:H37"/>
    <mergeCell ref="I35:M35"/>
    <mergeCell ref="I36:J36"/>
    <mergeCell ref="M36:M37"/>
    <mergeCell ref="G35:H35"/>
    <mergeCell ref="L36:L37"/>
    <mergeCell ref="K36:K37"/>
    <mergeCell ref="C81:C94"/>
    <mergeCell ref="C68:C80"/>
    <mergeCell ref="C38:C67"/>
    <mergeCell ref="D35:D37"/>
    <mergeCell ref="G36:G37"/>
    <mergeCell ref="C35:C37"/>
    <mergeCell ref="C4:D5"/>
    <mergeCell ref="E36:E37"/>
    <mergeCell ref="F36:F37"/>
    <mergeCell ref="E35:F35"/>
    <mergeCell ref="C32:D33"/>
    <mergeCell ref="C7:D8"/>
    <mergeCell ref="N117:O117"/>
    <mergeCell ref="N112:O112"/>
    <mergeCell ref="N113:O113"/>
    <mergeCell ref="N114:O114"/>
    <mergeCell ref="N115:O115"/>
    <mergeCell ref="N116:O116"/>
    <mergeCell ref="N108:O108"/>
    <mergeCell ref="N109:O109"/>
    <mergeCell ref="N110:O110"/>
    <mergeCell ref="N111:O111"/>
    <mergeCell ref="C98:D99"/>
    <mergeCell ref="F101:L101"/>
    <mergeCell ref="E101:E102"/>
    <mergeCell ref="M101:M102"/>
    <mergeCell ref="N101:O102"/>
    <mergeCell ref="C101:D102"/>
    <mergeCell ref="N103:O103"/>
    <mergeCell ref="N105:O105"/>
    <mergeCell ref="N106:O106"/>
    <mergeCell ref="N107:O107"/>
    <mergeCell ref="N104:O104"/>
  </mergeCells>
  <dataValidations count="4">
    <dataValidation type="list" allowBlank="1" showInputMessage="1" showErrorMessage="1" sqref="D68:D80 N104:O112 E263:M263">
      <formula1>_EEACountries</formula1>
    </dataValidation>
    <dataValidation type="list" allowBlank="1" showInputMessage="1" showErrorMessage="1" sqref="F68:F80 F84:F93">
      <formula1>_ISO4217</formula1>
    </dataValidation>
    <dataValidation type="list" allowBlank="1" showInputMessage="1" showErrorMessage="1" sqref="N148:O157 N115:O123 N126:O134 N137:O145">
      <formula1>_AllCountries</formula1>
    </dataValidation>
    <dataValidation type="list" allowBlank="1" showInputMessage="1" showErrorMessage="1" sqref="D84:D93">
      <formula1>_NonEEACountries</formula1>
    </dataValidation>
  </dataValidations>
  <pageMargins left="0.25" right="0.25" top="0.75" bottom="0.75" header="0.3" footer="0.3"/>
  <pageSetup paperSize="9" orientation="landscape" verticalDpi="0" r:id="rId1"/>
  <rowBreaks count="3" manualBreakCount="3">
    <brk id="31" max="16383" man="1"/>
    <brk id="97" max="16383" man="1"/>
    <brk id="160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CCFFFF"/>
  </sheetPr>
  <dimension ref="A1:H11"/>
  <sheetViews>
    <sheetView topLeftCell="C1" workbookViewId="0">
      <selection activeCell="E34" sqref="E34"/>
    </sheetView>
  </sheetViews>
  <sheetFormatPr defaultRowHeight="15" outlineLevelCol="1" x14ac:dyDescent="0.25"/>
  <cols>
    <col min="1" max="2" width="0" hidden="1" customWidth="1" outlineLevel="1"/>
    <col min="3" max="3" width="7.140625" customWidth="1" collapsed="1"/>
    <col min="4" max="4" width="26.42578125" customWidth="1"/>
    <col min="5" max="5" width="18.7109375" customWidth="1"/>
    <col min="6" max="7" width="18.7109375" style="208" customWidth="1"/>
    <col min="8" max="8" width="4" customWidth="1"/>
  </cols>
  <sheetData>
    <row r="1" spans="3:8" ht="15.75" x14ac:dyDescent="0.25">
      <c r="C1" s="493" t="str">
        <f>Participant!$A$1</f>
        <v>&lt;Participant's name&gt;</v>
      </c>
      <c r="D1" s="494"/>
      <c r="E1" s="495"/>
      <c r="F1" s="495"/>
      <c r="G1" s="485" t="str">
        <f>Participant!$E$1</f>
        <v>2013 - HUF (Thousands)</v>
      </c>
      <c r="H1" s="18" t="s">
        <v>89</v>
      </c>
    </row>
    <row r="2" spans="3:8" x14ac:dyDescent="0.25">
      <c r="D2" s="496"/>
      <c r="E2" s="498" t="str">
        <f>P.Index!D12</f>
        <v>Historical solvency position under current regime (end 2013)</v>
      </c>
      <c r="F2" s="498"/>
      <c r="G2" s="492" t="str">
        <f>Version</f>
        <v>2013 12 31</v>
      </c>
      <c r="H2" s="18" t="s">
        <v>89</v>
      </c>
    </row>
    <row r="3" spans="3:8" x14ac:dyDescent="0.25">
      <c r="E3" s="208"/>
      <c r="G3" s="917" t="str">
        <f>HYPERLINK("#'P.index'!H11","&gt;&gt; index sheet")</f>
        <v>&gt;&gt; index sheet</v>
      </c>
      <c r="H3" s="18" t="s">
        <v>89</v>
      </c>
    </row>
    <row r="4" spans="3:8" x14ac:dyDescent="0.25">
      <c r="D4" s="181" t="s">
        <v>456</v>
      </c>
      <c r="E4" s="860">
        <v>2013</v>
      </c>
      <c r="F4" s="981"/>
      <c r="G4" s="981"/>
      <c r="H4" s="18" t="s">
        <v>89</v>
      </c>
    </row>
    <row r="5" spans="3:8" x14ac:dyDescent="0.25">
      <c r="D5" s="643" t="s">
        <v>457</v>
      </c>
      <c r="E5" s="443">
        <f>SUM(E6,E7)</f>
        <v>0</v>
      </c>
      <c r="F5" s="982"/>
      <c r="G5" s="982"/>
      <c r="H5" s="18" t="s">
        <v>89</v>
      </c>
    </row>
    <row r="6" spans="3:8" x14ac:dyDescent="0.25">
      <c r="D6" s="861" t="s">
        <v>458</v>
      </c>
      <c r="E6" s="514" t="s">
        <v>521</v>
      </c>
      <c r="F6" s="983"/>
      <c r="G6" s="983"/>
      <c r="H6" s="18" t="s">
        <v>89</v>
      </c>
    </row>
    <row r="7" spans="3:8" x14ac:dyDescent="0.25">
      <c r="D7" s="861" t="s">
        <v>459</v>
      </c>
      <c r="E7" s="514" t="s">
        <v>521</v>
      </c>
      <c r="F7" s="983"/>
      <c r="G7" s="983"/>
      <c r="H7" s="18" t="s">
        <v>89</v>
      </c>
    </row>
    <row r="8" spans="3:8" x14ac:dyDescent="0.25">
      <c r="D8" s="643" t="s">
        <v>460</v>
      </c>
      <c r="E8" s="528" t="s">
        <v>521</v>
      </c>
      <c r="F8" s="983"/>
      <c r="G8" s="983"/>
      <c r="H8" s="18" t="s">
        <v>89</v>
      </c>
    </row>
    <row r="9" spans="3:8" x14ac:dyDescent="0.25">
      <c r="D9" s="862" t="s">
        <v>461</v>
      </c>
      <c r="E9" s="519" t="s">
        <v>521</v>
      </c>
      <c r="F9" s="983"/>
      <c r="G9" s="983"/>
      <c r="H9" s="18" t="s">
        <v>89</v>
      </c>
    </row>
    <row r="10" spans="3:8" x14ac:dyDescent="0.25">
      <c r="H10" s="18" t="s">
        <v>89</v>
      </c>
    </row>
    <row r="11" spans="3:8" x14ac:dyDescent="0.25">
      <c r="D11" s="18" t="s">
        <v>89</v>
      </c>
      <c r="E11" s="18" t="s">
        <v>89</v>
      </c>
      <c r="F11" s="18" t="s">
        <v>89</v>
      </c>
      <c r="G11" s="18" t="s">
        <v>89</v>
      </c>
      <c r="H11" s="18" t="s">
        <v>89</v>
      </c>
    </row>
  </sheetData>
  <conditionalFormatting sqref="D9:G9">
    <cfRule type="expression" dxfId="30" priority="1" stopIfTrue="1">
      <formula>$A$1="&lt;G&gt;"</formula>
    </cfRule>
  </conditionalFormatting>
  <pageMargins left="0.25" right="0.25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tabColor rgb="FFCCFFFF"/>
  </sheetPr>
  <dimension ref="A1:N164"/>
  <sheetViews>
    <sheetView topLeftCell="C1" workbookViewId="0">
      <selection activeCell="M15" sqref="M15"/>
    </sheetView>
  </sheetViews>
  <sheetFormatPr defaultRowHeight="15" outlineLevelCol="1" x14ac:dyDescent="0.25"/>
  <cols>
    <col min="1" max="1" width="6.85546875" style="1" hidden="1" customWidth="1" outlineLevel="1"/>
    <col min="2" max="2" width="9.140625" style="1" hidden="1" customWidth="1" outlineLevel="1"/>
    <col min="3" max="3" width="45.5703125" style="4" customWidth="1" collapsed="1"/>
    <col min="4" max="4" width="14.7109375" style="5" customWidth="1"/>
    <col min="5" max="5" width="2.28515625" style="5" customWidth="1"/>
    <col min="6" max="6" width="16" style="5" customWidth="1"/>
    <col min="7" max="7" width="16.5703125" style="5" customWidth="1"/>
    <col min="8" max="8" width="16.140625" style="5" customWidth="1"/>
    <col min="9" max="9" width="16.5703125" style="1" customWidth="1"/>
    <col min="10" max="10" width="1.85546875" style="1" bestFit="1" customWidth="1"/>
    <col min="11" max="16384" width="9.140625" style="1"/>
  </cols>
  <sheetData>
    <row r="1" spans="3:10" ht="15.75" x14ac:dyDescent="0.25">
      <c r="C1" s="499" t="str">
        <f>Participant!$A$1</f>
        <v>&lt;Participant's name&gt;</v>
      </c>
      <c r="D1" s="494"/>
      <c r="E1" s="503"/>
      <c r="F1" s="503"/>
      <c r="G1" s="506"/>
      <c r="H1" s="506"/>
      <c r="I1" s="485" t="str">
        <f>Participant!$E$1</f>
        <v>2013 - HUF (Thousands)</v>
      </c>
      <c r="J1" s="18" t="s">
        <v>89</v>
      </c>
    </row>
    <row r="2" spans="3:10" x14ac:dyDescent="0.25">
      <c r="C2" s="486" t="str">
        <f>Participant!$A$2</f>
        <v>-</v>
      </c>
      <c r="D2" s="507"/>
      <c r="E2" s="508"/>
      <c r="F2" s="498" t="s">
        <v>1138</v>
      </c>
      <c r="G2" s="487"/>
      <c r="H2" s="487"/>
      <c r="I2" s="492" t="str">
        <f>Version</f>
        <v>2013 12 31</v>
      </c>
      <c r="J2" s="18" t="s">
        <v>89</v>
      </c>
    </row>
    <row r="3" spans="3:10" x14ac:dyDescent="0.25">
      <c r="I3" s="249" t="str">
        <f>HYPERLINK("#'P.index'!H13","&gt;&gt; index sheet")</f>
        <v>&gt;&gt; index sheet</v>
      </c>
      <c r="J3" s="18" t="s">
        <v>89</v>
      </c>
    </row>
    <row r="4" spans="3:10" x14ac:dyDescent="0.25">
      <c r="C4" s="165" t="s">
        <v>1135</v>
      </c>
      <c r="D4" s="182"/>
      <c r="E4" s="182"/>
      <c r="F4" s="182"/>
      <c r="G4" s="182"/>
      <c r="H4" s="182"/>
      <c r="I4" s="212"/>
      <c r="J4" s="18" t="s">
        <v>89</v>
      </c>
    </row>
    <row r="5" spans="3:10" ht="12.75" x14ac:dyDescent="0.2">
      <c r="C5" s="1"/>
      <c r="D5" s="1"/>
      <c r="E5" s="1"/>
      <c r="F5" s="1"/>
      <c r="G5" s="1"/>
      <c r="H5" s="1"/>
      <c r="J5" s="18" t="s">
        <v>89</v>
      </c>
    </row>
    <row r="6" spans="3:10" ht="15.75" x14ac:dyDescent="0.25">
      <c r="C6" s="635" t="s">
        <v>0</v>
      </c>
      <c r="D6" s="636">
        <v>2013</v>
      </c>
      <c r="E6" s="157" t="s">
        <v>89</v>
      </c>
      <c r="F6" s="636">
        <v>2013</v>
      </c>
      <c r="G6" s="635" t="s">
        <v>20</v>
      </c>
      <c r="H6" s="635"/>
      <c r="I6" s="635"/>
      <c r="J6" s="18" t="s">
        <v>89</v>
      </c>
    </row>
    <row r="7" spans="3:10" x14ac:dyDescent="0.2">
      <c r="C7" s="637" t="s">
        <v>4</v>
      </c>
      <c r="D7" s="514" t="s">
        <v>521</v>
      </c>
      <c r="E7" s="155" t="s">
        <v>89</v>
      </c>
      <c r="F7" s="867">
        <f>SUM(F8:F10)</f>
        <v>0</v>
      </c>
      <c r="G7" s="541" t="s">
        <v>500</v>
      </c>
      <c r="H7" s="542"/>
      <c r="I7" s="543"/>
      <c r="J7" s="18" t="s">
        <v>89</v>
      </c>
    </row>
    <row r="8" spans="3:10" x14ac:dyDescent="0.2">
      <c r="C8" s="230" t="s">
        <v>5</v>
      </c>
      <c r="D8" s="868"/>
      <c r="E8" s="155" t="s">
        <v>89</v>
      </c>
      <c r="F8" s="868"/>
      <c r="G8" s="544" t="s">
        <v>53</v>
      </c>
      <c r="H8" s="545"/>
      <c r="I8" s="546"/>
      <c r="J8" s="18" t="s">
        <v>89</v>
      </c>
    </row>
    <row r="9" spans="3:10" x14ac:dyDescent="0.2">
      <c r="C9" s="637" t="s">
        <v>6</v>
      </c>
      <c r="D9" s="514" t="s">
        <v>521</v>
      </c>
      <c r="E9" s="155" t="s">
        <v>89</v>
      </c>
      <c r="F9" s="868"/>
      <c r="G9" s="544" t="s">
        <v>54</v>
      </c>
      <c r="H9" s="545"/>
      <c r="I9" s="546"/>
      <c r="J9" s="18" t="s">
        <v>89</v>
      </c>
    </row>
    <row r="10" spans="3:10" x14ac:dyDescent="0.2">
      <c r="C10" s="638" t="s">
        <v>7</v>
      </c>
      <c r="D10" s="514" t="s">
        <v>521</v>
      </c>
      <c r="E10" s="155" t="s">
        <v>89</v>
      </c>
      <c r="F10" s="868"/>
      <c r="G10" s="547" t="s">
        <v>55</v>
      </c>
      <c r="H10" s="545"/>
      <c r="I10" s="546"/>
      <c r="J10" s="18" t="s">
        <v>89</v>
      </c>
    </row>
    <row r="11" spans="3:10" ht="17.25" customHeight="1" x14ac:dyDescent="0.2">
      <c r="C11" s="639" t="s">
        <v>745</v>
      </c>
      <c r="D11" s="443">
        <f>SUM(D12:D13,D14,D17,D22:D25)</f>
        <v>0</v>
      </c>
      <c r="E11" s="155" t="s">
        <v>89</v>
      </c>
      <c r="F11" s="867">
        <f>SUM(F12:F14)</f>
        <v>0</v>
      </c>
      <c r="G11" s="541" t="s">
        <v>747</v>
      </c>
      <c r="H11" s="542"/>
      <c r="I11" s="543"/>
      <c r="J11" s="18" t="s">
        <v>89</v>
      </c>
    </row>
    <row r="12" spans="3:10" x14ac:dyDescent="0.2">
      <c r="C12" s="640" t="s">
        <v>125</v>
      </c>
      <c r="D12" s="514" t="s">
        <v>521</v>
      </c>
      <c r="E12" s="155" t="s">
        <v>89</v>
      </c>
      <c r="F12" s="868"/>
      <c r="G12" s="544" t="s">
        <v>53</v>
      </c>
      <c r="H12" s="545"/>
      <c r="I12" s="546"/>
      <c r="J12" s="18" t="s">
        <v>89</v>
      </c>
    </row>
    <row r="13" spans="3:10" x14ac:dyDescent="0.2">
      <c r="C13" s="640" t="s">
        <v>124</v>
      </c>
      <c r="D13" s="514" t="s">
        <v>521</v>
      </c>
      <c r="E13" s="155" t="s">
        <v>89</v>
      </c>
      <c r="F13" s="868"/>
      <c r="G13" s="544" t="s">
        <v>54</v>
      </c>
      <c r="H13" s="545"/>
      <c r="I13" s="546"/>
      <c r="J13" s="18" t="s">
        <v>89</v>
      </c>
    </row>
    <row r="14" spans="3:10" x14ac:dyDescent="0.2">
      <c r="C14" s="640" t="s">
        <v>68</v>
      </c>
      <c r="D14" s="444">
        <f>SUM(D15:D16)</f>
        <v>0</v>
      </c>
      <c r="E14" s="155" t="s">
        <v>89</v>
      </c>
      <c r="F14" s="868"/>
      <c r="G14" s="547" t="s">
        <v>55</v>
      </c>
      <c r="H14" s="545"/>
      <c r="I14" s="546"/>
      <c r="J14" s="18" t="s">
        <v>89</v>
      </c>
    </row>
    <row r="15" spans="3:10" x14ac:dyDescent="0.2">
      <c r="C15" s="641" t="s">
        <v>1053</v>
      </c>
      <c r="D15" s="514" t="s">
        <v>521</v>
      </c>
      <c r="E15" s="155" t="s">
        <v>89</v>
      </c>
      <c r="F15" s="867">
        <f>SUM(F16:F18)</f>
        <v>0</v>
      </c>
      <c r="G15" s="541" t="s">
        <v>501</v>
      </c>
      <c r="H15" s="542"/>
      <c r="I15" s="543"/>
      <c r="J15" s="18" t="s">
        <v>89</v>
      </c>
    </row>
    <row r="16" spans="3:10" x14ac:dyDescent="0.2">
      <c r="C16" s="641" t="s">
        <v>1073</v>
      </c>
      <c r="D16" s="514" t="s">
        <v>521</v>
      </c>
      <c r="E16" s="155" t="s">
        <v>89</v>
      </c>
      <c r="F16" s="868"/>
      <c r="G16" s="544" t="s">
        <v>53</v>
      </c>
      <c r="H16" s="545"/>
      <c r="I16" s="546"/>
      <c r="J16" s="18" t="s">
        <v>89</v>
      </c>
    </row>
    <row r="17" spans="3:10" x14ac:dyDescent="0.2">
      <c r="C17" s="640" t="s">
        <v>69</v>
      </c>
      <c r="D17" s="444">
        <f>SUM(D18:D21)</f>
        <v>0</v>
      </c>
      <c r="E17" s="155" t="s">
        <v>89</v>
      </c>
      <c r="F17" s="868"/>
      <c r="G17" s="544" t="s">
        <v>54</v>
      </c>
      <c r="H17" s="545"/>
      <c r="I17" s="546"/>
      <c r="J17" s="18" t="s">
        <v>89</v>
      </c>
    </row>
    <row r="18" spans="3:10" x14ac:dyDescent="0.2">
      <c r="C18" s="641" t="s">
        <v>76</v>
      </c>
      <c r="D18" s="514" t="s">
        <v>521</v>
      </c>
      <c r="E18" s="155" t="s">
        <v>89</v>
      </c>
      <c r="F18" s="868"/>
      <c r="G18" s="547" t="s">
        <v>55</v>
      </c>
      <c r="H18" s="545"/>
      <c r="I18" s="546"/>
      <c r="J18" s="18" t="s">
        <v>89</v>
      </c>
    </row>
    <row r="19" spans="3:10" x14ac:dyDescent="0.2">
      <c r="C19" s="641" t="s">
        <v>123</v>
      </c>
      <c r="D19" s="514" t="s">
        <v>521</v>
      </c>
      <c r="E19" s="155" t="s">
        <v>89</v>
      </c>
      <c r="F19" s="867">
        <f>SUM(F20:F22)</f>
        <v>0</v>
      </c>
      <c r="G19" s="541" t="s">
        <v>746</v>
      </c>
      <c r="H19" s="542"/>
      <c r="I19" s="543"/>
      <c r="J19" s="18" t="s">
        <v>89</v>
      </c>
    </row>
    <row r="20" spans="3:10" x14ac:dyDescent="0.2">
      <c r="C20" s="641" t="s">
        <v>122</v>
      </c>
      <c r="D20" s="514" t="s">
        <v>521</v>
      </c>
      <c r="E20" s="155" t="s">
        <v>89</v>
      </c>
      <c r="F20" s="868"/>
      <c r="G20" s="544" t="s">
        <v>53</v>
      </c>
      <c r="H20" s="545"/>
      <c r="I20" s="546"/>
      <c r="J20" s="18" t="s">
        <v>89</v>
      </c>
    </row>
    <row r="21" spans="3:10" x14ac:dyDescent="0.2">
      <c r="C21" s="641" t="s">
        <v>121</v>
      </c>
      <c r="D21" s="514" t="s">
        <v>521</v>
      </c>
      <c r="E21" s="155" t="s">
        <v>89</v>
      </c>
      <c r="F21" s="868"/>
      <c r="G21" s="544" t="s">
        <v>54</v>
      </c>
      <c r="H21" s="545"/>
      <c r="I21" s="546"/>
      <c r="J21" s="18" t="s">
        <v>89</v>
      </c>
    </row>
    <row r="22" spans="3:10" x14ac:dyDescent="0.2">
      <c r="C22" s="640" t="s">
        <v>120</v>
      </c>
      <c r="D22" s="514" t="s">
        <v>521</v>
      </c>
      <c r="E22" s="155" t="s">
        <v>89</v>
      </c>
      <c r="F22" s="868"/>
      <c r="G22" s="547" t="s">
        <v>55</v>
      </c>
      <c r="H22" s="545"/>
      <c r="I22" s="546"/>
      <c r="J22" s="18" t="s">
        <v>89</v>
      </c>
    </row>
    <row r="23" spans="3:10" x14ac:dyDescent="0.2">
      <c r="C23" s="640" t="s">
        <v>26</v>
      </c>
      <c r="D23" s="514" t="s">
        <v>521</v>
      </c>
      <c r="E23" s="155" t="s">
        <v>89</v>
      </c>
      <c r="F23" s="867">
        <f>SUM(F24:F26)</f>
        <v>0</v>
      </c>
      <c r="G23" s="541" t="s">
        <v>502</v>
      </c>
      <c r="H23" s="542"/>
      <c r="I23" s="543"/>
      <c r="J23" s="18" t="s">
        <v>89</v>
      </c>
    </row>
    <row r="24" spans="3:10" x14ac:dyDescent="0.2">
      <c r="C24" s="640" t="s">
        <v>119</v>
      </c>
      <c r="D24" s="514" t="s">
        <v>521</v>
      </c>
      <c r="E24" s="155" t="s">
        <v>89</v>
      </c>
      <c r="F24" s="868"/>
      <c r="G24" s="544" t="s">
        <v>53</v>
      </c>
      <c r="H24" s="545"/>
      <c r="I24" s="546"/>
      <c r="J24" s="18" t="s">
        <v>89</v>
      </c>
    </row>
    <row r="25" spans="3:10" x14ac:dyDescent="0.2">
      <c r="C25" s="640" t="s">
        <v>81</v>
      </c>
      <c r="D25" s="514" t="s">
        <v>521</v>
      </c>
      <c r="E25" s="155" t="s">
        <v>89</v>
      </c>
      <c r="F25" s="868"/>
      <c r="G25" s="544" t="s">
        <v>54</v>
      </c>
      <c r="H25" s="545"/>
      <c r="I25" s="546"/>
      <c r="J25" s="18" t="s">
        <v>89</v>
      </c>
    </row>
    <row r="26" spans="3:10" x14ac:dyDescent="0.2">
      <c r="C26" s="577" t="s">
        <v>8</v>
      </c>
      <c r="D26" s="518" t="s">
        <v>521</v>
      </c>
      <c r="E26" s="155" t="s">
        <v>89</v>
      </c>
      <c r="F26" s="868"/>
      <c r="G26" s="547" t="s">
        <v>55</v>
      </c>
      <c r="H26" s="545"/>
      <c r="I26" s="546"/>
      <c r="J26" s="18" t="s">
        <v>89</v>
      </c>
    </row>
    <row r="27" spans="3:10" x14ac:dyDescent="0.2">
      <c r="C27" s="577" t="s">
        <v>9</v>
      </c>
      <c r="D27" s="443">
        <f>SUM(D28:D29)</f>
        <v>0</v>
      </c>
      <c r="E27" s="155" t="s">
        <v>89</v>
      </c>
      <c r="F27" s="867">
        <f>SUM(F28:F30)</f>
        <v>0</v>
      </c>
      <c r="G27" s="541" t="s">
        <v>503</v>
      </c>
      <c r="H27" s="542"/>
      <c r="I27" s="543"/>
      <c r="J27" s="18" t="s">
        <v>89</v>
      </c>
    </row>
    <row r="28" spans="3:10" x14ac:dyDescent="0.2">
      <c r="C28" s="642" t="s">
        <v>115</v>
      </c>
      <c r="D28" s="514" t="s">
        <v>521</v>
      </c>
      <c r="E28" s="155" t="s">
        <v>89</v>
      </c>
      <c r="F28" s="868"/>
      <c r="G28" s="544" t="s">
        <v>53</v>
      </c>
      <c r="H28" s="545"/>
      <c r="I28" s="546"/>
      <c r="J28" s="18" t="s">
        <v>89</v>
      </c>
    </row>
    <row r="29" spans="3:10" x14ac:dyDescent="0.2">
      <c r="C29" s="642" t="s">
        <v>116</v>
      </c>
      <c r="D29" s="514" t="s">
        <v>521</v>
      </c>
      <c r="E29" s="155" t="s">
        <v>89</v>
      </c>
      <c r="F29" s="868"/>
      <c r="G29" s="544" t="s">
        <v>130</v>
      </c>
      <c r="H29" s="545"/>
      <c r="I29" s="546"/>
      <c r="J29" s="18" t="s">
        <v>89</v>
      </c>
    </row>
    <row r="30" spans="3:10" x14ac:dyDescent="0.2">
      <c r="C30" s="577" t="s">
        <v>10</v>
      </c>
      <c r="D30" s="528" t="s">
        <v>521</v>
      </c>
      <c r="E30" s="155" t="s">
        <v>89</v>
      </c>
      <c r="F30" s="868"/>
      <c r="G30" s="547" t="s">
        <v>87</v>
      </c>
      <c r="H30" s="545"/>
      <c r="I30" s="546"/>
      <c r="J30" s="18" t="s">
        <v>89</v>
      </c>
    </row>
    <row r="31" spans="3:10" x14ac:dyDescent="0.2">
      <c r="C31" s="232" t="s">
        <v>346</v>
      </c>
      <c r="D31" s="867">
        <f>SUM(D32,D35,D38)</f>
        <v>0</v>
      </c>
      <c r="E31" s="155" t="s">
        <v>89</v>
      </c>
      <c r="F31" s="528" t="s">
        <v>521</v>
      </c>
      <c r="G31" s="643" t="s">
        <v>21</v>
      </c>
      <c r="H31" s="644"/>
      <c r="I31" s="645"/>
      <c r="J31" s="18" t="s">
        <v>89</v>
      </c>
    </row>
    <row r="32" spans="3:10" x14ac:dyDescent="0.2">
      <c r="C32" s="233" t="s">
        <v>345</v>
      </c>
      <c r="D32" s="868"/>
      <c r="E32" s="155" t="s">
        <v>89</v>
      </c>
      <c r="F32" s="514" t="s">
        <v>521</v>
      </c>
      <c r="G32" s="646" t="s">
        <v>70</v>
      </c>
      <c r="H32" s="647"/>
      <c r="I32" s="648"/>
      <c r="J32" s="18" t="s">
        <v>89</v>
      </c>
    </row>
    <row r="33" spans="3:10" x14ac:dyDescent="0.2">
      <c r="C33" s="234" t="s">
        <v>117</v>
      </c>
      <c r="D33" s="868"/>
      <c r="E33" s="155" t="s">
        <v>89</v>
      </c>
      <c r="F33" s="514" t="s">
        <v>521</v>
      </c>
      <c r="G33" s="646" t="s">
        <v>22</v>
      </c>
      <c r="H33" s="647"/>
      <c r="I33" s="648"/>
      <c r="J33" s="18" t="s">
        <v>89</v>
      </c>
    </row>
    <row r="34" spans="3:10" x14ac:dyDescent="0.2">
      <c r="C34" s="234" t="s">
        <v>118</v>
      </c>
      <c r="D34" s="868"/>
      <c r="E34" s="155" t="s">
        <v>89</v>
      </c>
      <c r="F34" s="514" t="s">
        <v>521</v>
      </c>
      <c r="G34" s="646" t="s">
        <v>23</v>
      </c>
      <c r="H34" s="647"/>
      <c r="I34" s="648"/>
      <c r="J34" s="18" t="s">
        <v>89</v>
      </c>
    </row>
    <row r="35" spans="3:10" x14ac:dyDescent="0.2">
      <c r="C35" s="233" t="s">
        <v>508</v>
      </c>
      <c r="D35" s="868"/>
      <c r="E35" s="155" t="s">
        <v>89</v>
      </c>
      <c r="F35" s="514" t="s">
        <v>521</v>
      </c>
      <c r="G35" s="646" t="s">
        <v>24</v>
      </c>
      <c r="H35" s="647"/>
      <c r="I35" s="648"/>
      <c r="J35" s="18" t="s">
        <v>89</v>
      </c>
    </row>
    <row r="36" spans="3:10" x14ac:dyDescent="0.2">
      <c r="C36" s="234" t="s">
        <v>126</v>
      </c>
      <c r="D36" s="868"/>
      <c r="E36" s="155" t="s">
        <v>89</v>
      </c>
      <c r="F36" s="868"/>
      <c r="G36" s="646" t="s">
        <v>25</v>
      </c>
      <c r="H36" s="647"/>
      <c r="I36" s="648"/>
      <c r="J36" s="18" t="s">
        <v>89</v>
      </c>
    </row>
    <row r="37" spans="3:10" ht="13.5" customHeight="1" x14ac:dyDescent="0.2">
      <c r="C37" s="235" t="s">
        <v>749</v>
      </c>
      <c r="D37" s="868"/>
      <c r="E37" s="155" t="s">
        <v>89</v>
      </c>
      <c r="F37" s="514" t="s">
        <v>521</v>
      </c>
      <c r="G37" s="646" t="s">
        <v>26</v>
      </c>
      <c r="H37" s="647"/>
      <c r="I37" s="648"/>
      <c r="J37" s="18" t="s">
        <v>89</v>
      </c>
    </row>
    <row r="38" spans="3:10" x14ac:dyDescent="0.2">
      <c r="C38" s="233" t="s">
        <v>127</v>
      </c>
      <c r="D38" s="868"/>
      <c r="E38" s="155" t="s">
        <v>89</v>
      </c>
      <c r="F38" s="514" t="s">
        <v>521</v>
      </c>
      <c r="G38" s="646" t="s">
        <v>27</v>
      </c>
      <c r="H38" s="647"/>
      <c r="I38" s="648"/>
      <c r="J38" s="18" t="s">
        <v>89</v>
      </c>
    </row>
    <row r="39" spans="3:10" ht="15" customHeight="1" x14ac:dyDescent="0.2">
      <c r="C39" s="577" t="s">
        <v>11</v>
      </c>
      <c r="D39" s="528" t="s">
        <v>521</v>
      </c>
      <c r="E39" s="155" t="s">
        <v>89</v>
      </c>
      <c r="F39" s="514" t="s">
        <v>521</v>
      </c>
      <c r="G39" s="649" t="s">
        <v>748</v>
      </c>
      <c r="H39" s="647"/>
      <c r="I39" s="648"/>
      <c r="J39" s="18" t="s">
        <v>89</v>
      </c>
    </row>
    <row r="40" spans="3:10" ht="12.75" x14ac:dyDescent="0.2">
      <c r="C40" s="637" t="s">
        <v>12</v>
      </c>
      <c r="D40" s="514" t="s">
        <v>521</v>
      </c>
      <c r="E40" s="155" t="s">
        <v>89</v>
      </c>
      <c r="F40" s="514" t="s">
        <v>521</v>
      </c>
      <c r="G40" s="646" t="s">
        <v>29</v>
      </c>
      <c r="H40" s="647"/>
      <c r="I40" s="648"/>
      <c r="J40" s="18" t="s">
        <v>89</v>
      </c>
    </row>
    <row r="41" spans="3:10" ht="12.75" x14ac:dyDescent="0.2">
      <c r="C41" s="637" t="s">
        <v>13</v>
      </c>
      <c r="D41" s="514" t="s">
        <v>521</v>
      </c>
      <c r="E41" s="155" t="s">
        <v>89</v>
      </c>
      <c r="F41" s="514" t="s">
        <v>521</v>
      </c>
      <c r="G41" s="646" t="s">
        <v>30</v>
      </c>
      <c r="H41" s="647"/>
      <c r="I41" s="648"/>
      <c r="J41" s="18" t="s">
        <v>89</v>
      </c>
    </row>
    <row r="42" spans="3:10" ht="12.75" x14ac:dyDescent="0.2">
      <c r="C42" s="637" t="s">
        <v>14</v>
      </c>
      <c r="D42" s="514" t="s">
        <v>521</v>
      </c>
      <c r="E42" s="155" t="s">
        <v>89</v>
      </c>
      <c r="F42" s="514" t="s">
        <v>521</v>
      </c>
      <c r="G42" s="646" t="s">
        <v>31</v>
      </c>
      <c r="H42" s="647"/>
      <c r="I42" s="648"/>
      <c r="J42" s="18" t="s">
        <v>89</v>
      </c>
    </row>
    <row r="43" spans="3:10" ht="12.75" x14ac:dyDescent="0.2">
      <c r="C43" s="637" t="s">
        <v>15</v>
      </c>
      <c r="D43" s="514" t="s">
        <v>521</v>
      </c>
      <c r="E43" s="155" t="s">
        <v>89</v>
      </c>
      <c r="F43" s="444">
        <f>SUM(F44:F45)</f>
        <v>0</v>
      </c>
      <c r="G43" s="646" t="s">
        <v>129</v>
      </c>
      <c r="H43" s="647"/>
      <c r="I43" s="648"/>
      <c r="J43" s="18" t="s">
        <v>89</v>
      </c>
    </row>
    <row r="44" spans="3:10" ht="12.75" x14ac:dyDescent="0.2">
      <c r="C44" s="637" t="s">
        <v>16</v>
      </c>
      <c r="D44" s="514" t="s">
        <v>521</v>
      </c>
      <c r="E44" s="155" t="s">
        <v>89</v>
      </c>
      <c r="F44" s="514" t="s">
        <v>521</v>
      </c>
      <c r="G44" s="650" t="s">
        <v>32</v>
      </c>
      <c r="H44" s="647"/>
      <c r="I44" s="648"/>
      <c r="J44" s="18" t="s">
        <v>89</v>
      </c>
    </row>
    <row r="45" spans="3:10" ht="12.75" x14ac:dyDescent="0.2">
      <c r="C45" s="637" t="s">
        <v>17</v>
      </c>
      <c r="D45" s="514" t="s">
        <v>521</v>
      </c>
      <c r="E45" s="155" t="s">
        <v>89</v>
      </c>
      <c r="F45" s="514" t="s">
        <v>521</v>
      </c>
      <c r="G45" s="650" t="s">
        <v>33</v>
      </c>
      <c r="H45" s="647"/>
      <c r="I45" s="648"/>
      <c r="J45" s="18" t="s">
        <v>89</v>
      </c>
    </row>
    <row r="46" spans="3:10" ht="12.75" x14ac:dyDescent="0.2">
      <c r="C46" s="638" t="s">
        <v>18</v>
      </c>
      <c r="D46" s="514" t="s">
        <v>521</v>
      </c>
      <c r="E46" s="155" t="s">
        <v>89</v>
      </c>
      <c r="F46" s="514" t="s">
        <v>521</v>
      </c>
      <c r="G46" s="646" t="s">
        <v>34</v>
      </c>
      <c r="H46" s="647"/>
      <c r="I46" s="648"/>
      <c r="J46" s="18" t="s">
        <v>89</v>
      </c>
    </row>
    <row r="47" spans="3:10" x14ac:dyDescent="0.2">
      <c r="C47" s="236" t="s">
        <v>19</v>
      </c>
      <c r="D47" s="869"/>
      <c r="E47" s="161" t="s">
        <v>89</v>
      </c>
      <c r="F47" s="869"/>
      <c r="G47" s="280" t="s">
        <v>35</v>
      </c>
      <c r="H47" s="539"/>
      <c r="I47" s="540"/>
      <c r="J47" s="18" t="s">
        <v>89</v>
      </c>
    </row>
    <row r="48" spans="3:10" ht="12.75" x14ac:dyDescent="0.2">
      <c r="C48" s="6"/>
      <c r="D48" s="55"/>
      <c r="E48" s="55"/>
      <c r="F48" s="2"/>
      <c r="G48" s="2"/>
      <c r="H48" s="2"/>
      <c r="J48" s="18" t="s">
        <v>89</v>
      </c>
    </row>
    <row r="49" spans="3:10" ht="12.75" x14ac:dyDescent="0.2">
      <c r="C49" s="24" t="s">
        <v>1142</v>
      </c>
      <c r="D49" s="46"/>
      <c r="E49" s="46"/>
      <c r="F49" s="46"/>
      <c r="G49" s="46"/>
      <c r="H49" s="400"/>
      <c r="J49" s="18" t="s">
        <v>89</v>
      </c>
    </row>
    <row r="50" spans="3:10" ht="12.75" x14ac:dyDescent="0.2">
      <c r="C50" s="651" t="s">
        <v>77</v>
      </c>
      <c r="D50" s="443">
        <f>SUM(D11)</f>
        <v>0</v>
      </c>
      <c r="E50" s="157" t="s">
        <v>89</v>
      </c>
      <c r="F50" s="437"/>
      <c r="G50" s="437"/>
      <c r="H50" s="432"/>
      <c r="J50" s="18" t="s">
        <v>89</v>
      </c>
    </row>
    <row r="51" spans="3:10" ht="12.75" x14ac:dyDescent="0.2">
      <c r="C51" s="652" t="s">
        <v>635</v>
      </c>
      <c r="D51" s="444">
        <f>SUM(D26)</f>
        <v>0</v>
      </c>
      <c r="E51" s="155" t="s">
        <v>89</v>
      </c>
      <c r="F51" s="435"/>
      <c r="G51" s="435"/>
      <c r="H51" s="425"/>
      <c r="J51" s="18" t="s">
        <v>89</v>
      </c>
    </row>
    <row r="52" spans="3:10" ht="12.75" x14ac:dyDescent="0.2">
      <c r="C52" s="653" t="s">
        <v>82</v>
      </c>
      <c r="D52" s="456">
        <f>SUM(D7,D9,D10,D27,D30,D39:D46)</f>
        <v>0</v>
      </c>
      <c r="E52" s="161" t="s">
        <v>89</v>
      </c>
      <c r="F52" s="448">
        <f>SUM(F31:F35,F37:F42,F43,F46)</f>
        <v>0</v>
      </c>
      <c r="G52" s="654" t="s">
        <v>542</v>
      </c>
      <c r="H52" s="654"/>
      <c r="J52" s="18" t="s">
        <v>89</v>
      </c>
    </row>
    <row r="53" spans="3:10" x14ac:dyDescent="0.25">
      <c r="J53" s="18" t="s">
        <v>89</v>
      </c>
    </row>
    <row r="54" spans="3:10" x14ac:dyDescent="0.25">
      <c r="C54" s="165" t="s">
        <v>1076</v>
      </c>
      <c r="D54" s="182"/>
      <c r="E54" s="182"/>
      <c r="F54" s="182"/>
      <c r="G54" s="182"/>
      <c r="H54" s="182"/>
      <c r="I54" s="212"/>
      <c r="J54" s="18" t="s">
        <v>89</v>
      </c>
    </row>
    <row r="55" spans="3:10" ht="14.25" customHeight="1" x14ac:dyDescent="0.2">
      <c r="C55" s="655"/>
      <c r="D55" s="623" t="s">
        <v>514</v>
      </c>
      <c r="E55" s="155" t="s">
        <v>89</v>
      </c>
      <c r="F55" s="623" t="s">
        <v>751</v>
      </c>
      <c r="G55" s="623" t="s">
        <v>752</v>
      </c>
      <c r="H55" s="623" t="s">
        <v>131</v>
      </c>
      <c r="I55" s="656" t="s">
        <v>135</v>
      </c>
      <c r="J55" s="18" t="s">
        <v>89</v>
      </c>
    </row>
    <row r="56" spans="3:10" ht="12" customHeight="1" x14ac:dyDescent="0.2">
      <c r="C56" s="657" t="s">
        <v>132</v>
      </c>
      <c r="D56" s="444">
        <f>SUM(F56:I56)</f>
        <v>0</v>
      </c>
      <c r="E56" s="155" t="s">
        <v>89</v>
      </c>
      <c r="F56" s="528" t="s">
        <v>521</v>
      </c>
      <c r="G56" s="417"/>
      <c r="H56" s="528" t="s">
        <v>521</v>
      </c>
      <c r="I56" s="417"/>
      <c r="J56" s="18" t="s">
        <v>89</v>
      </c>
    </row>
    <row r="57" spans="3:10" ht="13.5" customHeight="1" x14ac:dyDescent="0.2">
      <c r="C57" s="658" t="s">
        <v>133</v>
      </c>
      <c r="D57" s="444">
        <f t="shared" ref="D57:D68" si="0">SUM(F57:I57)</f>
        <v>0</v>
      </c>
      <c r="E57" s="155" t="s">
        <v>89</v>
      </c>
      <c r="F57" s="514" t="s">
        <v>521</v>
      </c>
      <c r="G57" s="416"/>
      <c r="H57" s="514" t="s">
        <v>521</v>
      </c>
      <c r="I57" s="416"/>
      <c r="J57" s="18" t="s">
        <v>89</v>
      </c>
    </row>
    <row r="58" spans="3:10" ht="12.75" x14ac:dyDescent="0.2">
      <c r="C58" s="659" t="s">
        <v>505</v>
      </c>
      <c r="D58" s="444">
        <f t="shared" si="0"/>
        <v>0</v>
      </c>
      <c r="E58" s="155" t="s">
        <v>89</v>
      </c>
      <c r="F58" s="514" t="s">
        <v>521</v>
      </c>
      <c r="G58" s="416"/>
      <c r="H58" s="416"/>
      <c r="I58" s="416"/>
      <c r="J58" s="18" t="s">
        <v>89</v>
      </c>
    </row>
    <row r="59" spans="3:10" ht="12.75" x14ac:dyDescent="0.2">
      <c r="C59" s="660" t="s">
        <v>134</v>
      </c>
      <c r="D59" s="444">
        <f t="shared" si="0"/>
        <v>0</v>
      </c>
      <c r="E59" s="155" t="s">
        <v>89</v>
      </c>
      <c r="F59" s="416"/>
      <c r="G59" s="514" t="s">
        <v>521</v>
      </c>
      <c r="H59" s="514" t="s">
        <v>521</v>
      </c>
      <c r="I59" s="514" t="s">
        <v>521</v>
      </c>
      <c r="J59" s="18" t="s">
        <v>89</v>
      </c>
    </row>
    <row r="60" spans="3:10" ht="12.75" x14ac:dyDescent="0.2">
      <c r="C60" s="661" t="s">
        <v>750</v>
      </c>
      <c r="D60" s="444">
        <f t="shared" si="0"/>
        <v>0</v>
      </c>
      <c r="E60" s="155" t="s">
        <v>89</v>
      </c>
      <c r="F60" s="416"/>
      <c r="G60" s="514" t="s">
        <v>521</v>
      </c>
      <c r="H60" s="514" t="s">
        <v>521</v>
      </c>
      <c r="I60" s="514" t="s">
        <v>521</v>
      </c>
      <c r="J60" s="18" t="s">
        <v>89</v>
      </c>
    </row>
    <row r="61" spans="3:10" ht="12.75" x14ac:dyDescent="0.2">
      <c r="C61" s="662" t="s">
        <v>129</v>
      </c>
      <c r="D61" s="444">
        <f t="shared" si="0"/>
        <v>0</v>
      </c>
      <c r="E61" s="155" t="s">
        <v>89</v>
      </c>
      <c r="F61" s="416"/>
      <c r="G61" s="514" t="s">
        <v>521</v>
      </c>
      <c r="H61" s="514" t="s">
        <v>521</v>
      </c>
      <c r="I61" s="514" t="s">
        <v>521</v>
      </c>
      <c r="J61" s="18" t="s">
        <v>89</v>
      </c>
    </row>
    <row r="62" spans="3:10" ht="12.75" x14ac:dyDescent="0.2">
      <c r="C62" s="663" t="s">
        <v>511</v>
      </c>
      <c r="D62" s="444">
        <f t="shared" si="0"/>
        <v>0</v>
      </c>
      <c r="E62" s="155" t="s">
        <v>89</v>
      </c>
      <c r="F62" s="444">
        <f>-SUM(D43)</f>
        <v>0</v>
      </c>
      <c r="G62" s="416"/>
      <c r="H62" s="416"/>
      <c r="I62" s="416"/>
      <c r="J62" s="18" t="s">
        <v>89</v>
      </c>
    </row>
    <row r="63" spans="3:10" ht="12.75" x14ac:dyDescent="0.2">
      <c r="C63" s="663" t="s">
        <v>513</v>
      </c>
      <c r="D63" s="444">
        <f t="shared" si="0"/>
        <v>0</v>
      </c>
      <c r="E63" s="155" t="s">
        <v>89</v>
      </c>
      <c r="F63" s="514" t="s">
        <v>521</v>
      </c>
      <c r="G63" s="416"/>
      <c r="H63" s="416"/>
      <c r="I63" s="416"/>
      <c r="J63" s="18" t="s">
        <v>89</v>
      </c>
    </row>
    <row r="64" spans="3:10" ht="12.75" x14ac:dyDescent="0.2">
      <c r="C64" s="663" t="s">
        <v>512</v>
      </c>
      <c r="D64" s="444">
        <f t="shared" si="0"/>
        <v>0</v>
      </c>
      <c r="E64" s="155" t="s">
        <v>89</v>
      </c>
      <c r="F64" s="444">
        <f>-SUM(D56:D60,D65)</f>
        <v>0</v>
      </c>
      <c r="G64" s="416"/>
      <c r="H64" s="416"/>
      <c r="I64" s="416"/>
      <c r="J64" s="18" t="s">
        <v>89</v>
      </c>
    </row>
    <row r="65" spans="3:10" ht="12.75" x14ac:dyDescent="0.2">
      <c r="C65" s="664" t="s">
        <v>753</v>
      </c>
      <c r="D65" s="443">
        <f t="shared" si="0"/>
        <v>0</v>
      </c>
      <c r="E65" s="155" t="s">
        <v>89</v>
      </c>
      <c r="F65" s="416"/>
      <c r="G65" s="514" t="s">
        <v>521</v>
      </c>
      <c r="H65" s="514" t="s">
        <v>521</v>
      </c>
      <c r="I65" s="416"/>
      <c r="J65" s="18" t="s">
        <v>89</v>
      </c>
    </row>
    <row r="66" spans="3:10" ht="12.75" x14ac:dyDescent="0.2">
      <c r="C66" s="665" t="s">
        <v>754</v>
      </c>
      <c r="D66" s="456">
        <f t="shared" si="0"/>
        <v>0</v>
      </c>
      <c r="E66" s="155" t="s">
        <v>89</v>
      </c>
      <c r="F66" s="416"/>
      <c r="G66" s="514" t="s">
        <v>521</v>
      </c>
      <c r="H66" s="514" t="s">
        <v>521</v>
      </c>
      <c r="I66" s="416"/>
      <c r="J66" s="18" t="s">
        <v>89</v>
      </c>
    </row>
    <row r="67" spans="3:10" ht="14.25" customHeight="1" x14ac:dyDescent="0.2">
      <c r="C67" s="666" t="s">
        <v>510</v>
      </c>
      <c r="D67" s="448">
        <f t="shared" si="0"/>
        <v>0</v>
      </c>
      <c r="E67" s="155" t="s">
        <v>89</v>
      </c>
      <c r="F67" s="514" t="s">
        <v>521</v>
      </c>
      <c r="G67" s="416"/>
      <c r="H67" s="416"/>
      <c r="I67" s="416"/>
      <c r="J67" s="18" t="s">
        <v>89</v>
      </c>
    </row>
    <row r="68" spans="3:10" ht="12.75" x14ac:dyDescent="0.2">
      <c r="C68" s="667" t="s">
        <v>757</v>
      </c>
      <c r="D68" s="456">
        <f t="shared" si="0"/>
        <v>0</v>
      </c>
      <c r="E68" s="161" t="s">
        <v>89</v>
      </c>
      <c r="F68" s="456">
        <f>SUM(F56:F64)-SUM(F67)</f>
        <v>0</v>
      </c>
      <c r="G68" s="456">
        <f>SUM(G56:G66)-SUM(G67)</f>
        <v>0</v>
      </c>
      <c r="H68" s="456">
        <f>SUM(H56:H66)-SUM(H67)</f>
        <v>0</v>
      </c>
      <c r="I68" s="456">
        <f>SUM(I56:I66)-SUM(I67)</f>
        <v>0</v>
      </c>
      <c r="J68" s="18" t="s">
        <v>89</v>
      </c>
    </row>
    <row r="69" spans="3:10" ht="14.25" x14ac:dyDescent="0.2">
      <c r="C69" s="17"/>
      <c r="D69" s="58"/>
      <c r="E69" s="1"/>
      <c r="F69" s="58"/>
      <c r="G69" s="58"/>
      <c r="H69" s="58"/>
      <c r="I69" s="58"/>
      <c r="J69" s="18" t="s">
        <v>89</v>
      </c>
    </row>
    <row r="70" spans="3:10" x14ac:dyDescent="0.25">
      <c r="C70" s="181" t="s">
        <v>138</v>
      </c>
      <c r="D70" s="668" t="s">
        <v>514</v>
      </c>
      <c r="E70" s="157" t="s">
        <v>89</v>
      </c>
      <c r="F70" s="668" t="s">
        <v>751</v>
      </c>
      <c r="G70" s="668" t="s">
        <v>752</v>
      </c>
      <c r="H70" s="668" t="s">
        <v>131</v>
      </c>
      <c r="I70" s="669" t="s">
        <v>135</v>
      </c>
      <c r="J70" s="18" t="s">
        <v>89</v>
      </c>
    </row>
    <row r="71" spans="3:10" s="17" customFormat="1" ht="12.75" x14ac:dyDescent="0.2">
      <c r="C71" s="661" t="s">
        <v>1070</v>
      </c>
      <c r="D71" s="444">
        <f>SUM(F71:I71)</f>
        <v>0</v>
      </c>
      <c r="E71" s="155" t="s">
        <v>89</v>
      </c>
      <c r="F71" s="416"/>
      <c r="G71" s="416"/>
      <c r="H71" s="514" t="s">
        <v>521</v>
      </c>
      <c r="I71" s="416"/>
      <c r="J71" s="18" t="s">
        <v>89</v>
      </c>
    </row>
    <row r="72" spans="3:10" s="17" customFormat="1" ht="12.75" x14ac:dyDescent="0.2">
      <c r="C72" s="661" t="s">
        <v>1071</v>
      </c>
      <c r="D72" s="444">
        <f>SUM(F72:I72)</f>
        <v>0</v>
      </c>
      <c r="E72" s="155" t="s">
        <v>89</v>
      </c>
      <c r="F72" s="416"/>
      <c r="G72" s="416"/>
      <c r="H72" s="514" t="s">
        <v>521</v>
      </c>
      <c r="I72" s="514" t="s">
        <v>521</v>
      </c>
      <c r="J72" s="18" t="s">
        <v>89</v>
      </c>
    </row>
    <row r="73" spans="3:10" ht="12.75" x14ac:dyDescent="0.2">
      <c r="C73" s="670" t="s">
        <v>758</v>
      </c>
      <c r="D73" s="456">
        <f>SUM(F73:I73)</f>
        <v>0</v>
      </c>
      <c r="E73" s="161" t="s">
        <v>89</v>
      </c>
      <c r="F73" s="440"/>
      <c r="G73" s="440"/>
      <c r="H73" s="456">
        <f>SUM(H71:H72)</f>
        <v>0</v>
      </c>
      <c r="I73" s="456">
        <f>SUM(I71:I72)</f>
        <v>0</v>
      </c>
      <c r="J73" s="18" t="s">
        <v>89</v>
      </c>
    </row>
    <row r="74" spans="3:10" ht="12.75" x14ac:dyDescent="0.2">
      <c r="C74" s="670" t="s">
        <v>1072</v>
      </c>
      <c r="D74" s="456">
        <f>SUM(F74:I74)</f>
        <v>0</v>
      </c>
      <c r="E74" s="161" t="s">
        <v>89</v>
      </c>
      <c r="F74" s="440"/>
      <c r="G74" s="440"/>
      <c r="H74" s="519" t="s">
        <v>521</v>
      </c>
      <c r="I74" s="519" t="s">
        <v>521</v>
      </c>
      <c r="J74" s="18" t="s">
        <v>89</v>
      </c>
    </row>
    <row r="75" spans="3:10" ht="14.25" x14ac:dyDescent="0.2">
      <c r="C75" s="31"/>
      <c r="D75" s="58"/>
      <c r="E75" s="1"/>
      <c r="F75" s="58"/>
      <c r="G75" s="58"/>
      <c r="H75" s="281" t="s">
        <v>827</v>
      </c>
      <c r="I75" s="281" t="s">
        <v>828</v>
      </c>
      <c r="J75" s="18" t="s">
        <v>89</v>
      </c>
    </row>
    <row r="76" spans="3:10" ht="14.25" x14ac:dyDescent="0.2">
      <c r="C76" s="31"/>
      <c r="D76" s="58"/>
      <c r="E76" s="1"/>
      <c r="F76" s="58"/>
      <c r="G76" s="58"/>
      <c r="H76" s="282" t="str">
        <f>HYPERLINK(_TS_&amp;"#"&amp;SUBSTITUTE(H75,".","_"),"Open")</f>
        <v>Open</v>
      </c>
      <c r="I76" s="282" t="str">
        <f>HYPERLINK(_TS_&amp;"#"&amp;SUBSTITUTE(I75,".","_"),"Open")</f>
        <v>Open</v>
      </c>
      <c r="J76" s="18" t="s">
        <v>89</v>
      </c>
    </row>
    <row r="77" spans="3:10" s="17" customFormat="1" ht="14.25" x14ac:dyDescent="0.2">
      <c r="C77" s="31"/>
      <c r="D77" s="58"/>
      <c r="F77" s="58"/>
      <c r="G77" s="58"/>
      <c r="H77" s="974"/>
      <c r="I77" s="975"/>
      <c r="J77" s="18" t="s">
        <v>89</v>
      </c>
    </row>
    <row r="78" spans="3:10" x14ac:dyDescent="0.25">
      <c r="C78" s="165" t="s">
        <v>759</v>
      </c>
      <c r="D78" s="182"/>
      <c r="E78" s="182"/>
      <c r="F78" s="182"/>
      <c r="G78" s="182"/>
      <c r="H78" s="182"/>
      <c r="I78" s="212"/>
      <c r="J78" s="18" t="s">
        <v>89</v>
      </c>
    </row>
    <row r="79" spans="3:10" x14ac:dyDescent="0.25">
      <c r="J79" s="18" t="s">
        <v>89</v>
      </c>
    </row>
    <row r="80" spans="3:10" x14ac:dyDescent="0.25">
      <c r="C80" s="165" t="s">
        <v>562</v>
      </c>
      <c r="D80" s="212"/>
      <c r="J80" s="18" t="s">
        <v>89</v>
      </c>
    </row>
    <row r="81" spans="1:14" s="5" customFormat="1" x14ac:dyDescent="0.25">
      <c r="A81" s="134" t="s">
        <v>565</v>
      </c>
      <c r="B81" s="135" t="str">
        <f>HYPERLINK(_TS_&amp;"#"&amp;SUBSTITUTE(A81,".","_"),"Open")</f>
        <v>Open</v>
      </c>
      <c r="C81" s="671" t="s">
        <v>566</v>
      </c>
      <c r="D81" s="451">
        <f>0.8*SUM(D7)</f>
        <v>0</v>
      </c>
      <c r="I81" s="1"/>
      <c r="J81" s="18" t="s">
        <v>89</v>
      </c>
      <c r="K81" s="1"/>
      <c r="L81" s="1"/>
      <c r="M81" s="1"/>
      <c r="N81" s="1"/>
    </row>
    <row r="82" spans="1:14" x14ac:dyDescent="0.25">
      <c r="J82" s="18" t="s">
        <v>89</v>
      </c>
    </row>
    <row r="83" spans="1:14" x14ac:dyDescent="0.25">
      <c r="C83" s="165" t="s">
        <v>575</v>
      </c>
      <c r="D83" s="212"/>
      <c r="J83" s="18" t="s">
        <v>89</v>
      </c>
    </row>
    <row r="84" spans="1:14" x14ac:dyDescent="0.25">
      <c r="A84" s="134" t="s">
        <v>846</v>
      </c>
      <c r="B84" s="135" t="str">
        <f>HYPERLINK(_TS_&amp;"#"&amp;SUBSTITUTE(A84,".","_"),"Open")</f>
        <v>Open</v>
      </c>
      <c r="C84" s="672" t="s">
        <v>202</v>
      </c>
      <c r="D84" s="450">
        <f>4%*(SUM(D85)-SUM(D86))+3%*SUM(D87)+MAX(0,4%*(SUM(D85)-1.2*SUM(D88)-(SUM(D86)-1.2*SUM(D89))))+MAX(0,3%*(SUM(D87)-1.2*SUM(D90)))</f>
        <v>0</v>
      </c>
      <c r="J84" s="18" t="s">
        <v>89</v>
      </c>
    </row>
    <row r="85" spans="1:14" x14ac:dyDescent="0.25">
      <c r="C85" s="673" t="s">
        <v>203</v>
      </c>
      <c r="D85" s="514" t="s">
        <v>521</v>
      </c>
      <c r="J85" s="18" t="s">
        <v>89</v>
      </c>
    </row>
    <row r="86" spans="1:14" x14ac:dyDescent="0.25">
      <c r="C86" s="673" t="s">
        <v>204</v>
      </c>
      <c r="D86" s="514" t="s">
        <v>521</v>
      </c>
      <c r="J86" s="18" t="s">
        <v>89</v>
      </c>
    </row>
    <row r="87" spans="1:14" x14ac:dyDescent="0.25">
      <c r="C87" s="673" t="s">
        <v>205</v>
      </c>
      <c r="D87" s="514" t="s">
        <v>521</v>
      </c>
      <c r="J87" s="18" t="s">
        <v>89</v>
      </c>
    </row>
    <row r="88" spans="1:14" x14ac:dyDescent="0.25">
      <c r="C88" s="673" t="s">
        <v>206</v>
      </c>
      <c r="D88" s="514" t="s">
        <v>521</v>
      </c>
      <c r="J88" s="18" t="s">
        <v>89</v>
      </c>
    </row>
    <row r="89" spans="1:14" x14ac:dyDescent="0.25">
      <c r="C89" s="673" t="s">
        <v>207</v>
      </c>
      <c r="D89" s="514" t="s">
        <v>521</v>
      </c>
      <c r="J89" s="18" t="s">
        <v>89</v>
      </c>
    </row>
    <row r="90" spans="1:14" x14ac:dyDescent="0.25">
      <c r="C90" s="673" t="s">
        <v>208</v>
      </c>
      <c r="D90" s="514" t="s">
        <v>521</v>
      </c>
      <c r="J90" s="18" t="s">
        <v>89</v>
      </c>
    </row>
    <row r="91" spans="1:14" x14ac:dyDescent="0.25">
      <c r="C91" s="674" t="s">
        <v>651</v>
      </c>
      <c r="D91" s="518" t="s">
        <v>521</v>
      </c>
      <c r="J91" s="18" t="s">
        <v>89</v>
      </c>
    </row>
    <row r="92" spans="1:14" x14ac:dyDescent="0.25">
      <c r="J92" s="18" t="s">
        <v>89</v>
      </c>
    </row>
    <row r="93" spans="1:14" x14ac:dyDescent="0.25">
      <c r="C93" s="165" t="s">
        <v>650</v>
      </c>
      <c r="D93" s="212"/>
      <c r="J93" s="18" t="s">
        <v>89</v>
      </c>
    </row>
    <row r="94" spans="1:14" x14ac:dyDescent="0.25">
      <c r="A94" s="134" t="s">
        <v>845</v>
      </c>
      <c r="B94" s="135" t="str">
        <f>HYPERLINK(_TS_&amp;"#"&amp;SUBSTITUTE(A94,".","_"),"Open")</f>
        <v>Open</v>
      </c>
      <c r="C94" s="651" t="s">
        <v>756</v>
      </c>
      <c r="D94" s="450">
        <f>SQRT((SUM(D95:D96))^2+SUMSQ(D97:D98))</f>
        <v>0</v>
      </c>
      <c r="J94" s="18" t="s">
        <v>89</v>
      </c>
    </row>
    <row r="95" spans="1:14" x14ac:dyDescent="0.25">
      <c r="C95" s="675" t="s">
        <v>447</v>
      </c>
      <c r="D95" s="514" t="s">
        <v>521</v>
      </c>
      <c r="J95" s="18" t="s">
        <v>89</v>
      </c>
    </row>
    <row r="96" spans="1:14" x14ac:dyDescent="0.25">
      <c r="C96" s="675" t="s">
        <v>522</v>
      </c>
      <c r="D96" s="514" t="s">
        <v>521</v>
      </c>
      <c r="J96" s="18" t="s">
        <v>89</v>
      </c>
    </row>
    <row r="97" spans="2:10" x14ac:dyDescent="0.25">
      <c r="C97" s="675" t="s">
        <v>448</v>
      </c>
      <c r="D97" s="514" t="s">
        <v>521</v>
      </c>
      <c r="J97" s="18" t="s">
        <v>89</v>
      </c>
    </row>
    <row r="98" spans="2:10" x14ac:dyDescent="0.25">
      <c r="C98" s="676" t="s">
        <v>200</v>
      </c>
      <c r="D98" s="519" t="s">
        <v>521</v>
      </c>
      <c r="J98" s="18" t="s">
        <v>89</v>
      </c>
    </row>
    <row r="99" spans="2:10" x14ac:dyDescent="0.25">
      <c r="J99" s="18" t="s">
        <v>89</v>
      </c>
    </row>
    <row r="100" spans="2:10" ht="14.25" x14ac:dyDescent="0.2">
      <c r="C100" s="651" t="s">
        <v>1014</v>
      </c>
      <c r="D100" s="677" t="s">
        <v>849</v>
      </c>
      <c r="E100" s="157" t="s">
        <v>89</v>
      </c>
      <c r="F100" s="678" t="s">
        <v>1002</v>
      </c>
      <c r="G100" s="678" t="s">
        <v>1003</v>
      </c>
      <c r="H100" s="678" t="s">
        <v>1001</v>
      </c>
      <c r="I100" s="678" t="s">
        <v>1004</v>
      </c>
      <c r="J100" s="18" t="s">
        <v>89</v>
      </c>
    </row>
    <row r="101" spans="2:10" ht="12.75" x14ac:dyDescent="0.2">
      <c r="B101" s="59">
        <v>1</v>
      </c>
      <c r="C101" s="679" t="s">
        <v>855</v>
      </c>
      <c r="D101" s="450">
        <f t="shared" ref="D101:D112" si="1">MAX(F101,G101)+SUM(H101,I101)</f>
        <v>0</v>
      </c>
      <c r="E101" s="155" t="s">
        <v>89</v>
      </c>
      <c r="F101" s="528" t="s">
        <v>521</v>
      </c>
      <c r="G101" s="528" t="s">
        <v>521</v>
      </c>
      <c r="H101" s="528" t="s">
        <v>521</v>
      </c>
      <c r="I101" s="528" t="s">
        <v>521</v>
      </c>
      <c r="J101" s="18" t="s">
        <v>89</v>
      </c>
    </row>
    <row r="102" spans="2:10" ht="12.75" x14ac:dyDescent="0.2">
      <c r="B102" s="59">
        <v>2</v>
      </c>
      <c r="C102" s="680" t="s">
        <v>856</v>
      </c>
      <c r="D102" s="449">
        <f t="shared" si="1"/>
        <v>0</v>
      </c>
      <c r="E102" s="155" t="s">
        <v>89</v>
      </c>
      <c r="F102" s="514" t="s">
        <v>521</v>
      </c>
      <c r="G102" s="514" t="s">
        <v>521</v>
      </c>
      <c r="H102" s="514" t="s">
        <v>521</v>
      </c>
      <c r="I102" s="514" t="s">
        <v>521</v>
      </c>
      <c r="J102" s="18" t="s">
        <v>89</v>
      </c>
    </row>
    <row r="103" spans="2:10" ht="12.75" x14ac:dyDescent="0.2">
      <c r="B103" s="59">
        <v>3</v>
      </c>
      <c r="C103" s="680" t="s">
        <v>857</v>
      </c>
      <c r="D103" s="449">
        <f t="shared" si="1"/>
        <v>0</v>
      </c>
      <c r="E103" s="155" t="s">
        <v>89</v>
      </c>
      <c r="F103" s="514" t="s">
        <v>521</v>
      </c>
      <c r="G103" s="514" t="s">
        <v>521</v>
      </c>
      <c r="H103" s="514" t="s">
        <v>521</v>
      </c>
      <c r="I103" s="514" t="s">
        <v>521</v>
      </c>
      <c r="J103" s="18" t="s">
        <v>89</v>
      </c>
    </row>
    <row r="104" spans="2:10" ht="12.75" x14ac:dyDescent="0.2">
      <c r="B104" s="59">
        <v>4</v>
      </c>
      <c r="C104" s="680" t="s">
        <v>858</v>
      </c>
      <c r="D104" s="449">
        <f t="shared" si="1"/>
        <v>0</v>
      </c>
      <c r="E104" s="155" t="s">
        <v>89</v>
      </c>
      <c r="F104" s="514" t="s">
        <v>521</v>
      </c>
      <c r="G104" s="514" t="s">
        <v>521</v>
      </c>
      <c r="H104" s="514" t="s">
        <v>521</v>
      </c>
      <c r="I104" s="514" t="s">
        <v>521</v>
      </c>
      <c r="J104" s="18" t="s">
        <v>89</v>
      </c>
    </row>
    <row r="105" spans="2:10" ht="12.75" x14ac:dyDescent="0.2">
      <c r="B105" s="59">
        <v>5</v>
      </c>
      <c r="C105" s="680" t="s">
        <v>859</v>
      </c>
      <c r="D105" s="449">
        <f t="shared" si="1"/>
        <v>0</v>
      </c>
      <c r="E105" s="155" t="s">
        <v>89</v>
      </c>
      <c r="F105" s="514" t="s">
        <v>521</v>
      </c>
      <c r="G105" s="514" t="s">
        <v>521</v>
      </c>
      <c r="H105" s="514" t="s">
        <v>521</v>
      </c>
      <c r="I105" s="514" t="s">
        <v>521</v>
      </c>
      <c r="J105" s="18" t="s">
        <v>89</v>
      </c>
    </row>
    <row r="106" spans="2:10" ht="12.75" x14ac:dyDescent="0.2">
      <c r="B106" s="59">
        <v>6</v>
      </c>
      <c r="C106" s="680" t="s">
        <v>860</v>
      </c>
      <c r="D106" s="449">
        <f t="shared" si="1"/>
        <v>0</v>
      </c>
      <c r="E106" s="155" t="s">
        <v>89</v>
      </c>
      <c r="F106" s="514" t="s">
        <v>521</v>
      </c>
      <c r="G106" s="514" t="s">
        <v>521</v>
      </c>
      <c r="H106" s="514" t="s">
        <v>521</v>
      </c>
      <c r="I106" s="514" t="s">
        <v>521</v>
      </c>
      <c r="J106" s="18" t="s">
        <v>89</v>
      </c>
    </row>
    <row r="107" spans="2:10" ht="12.75" x14ac:dyDescent="0.2">
      <c r="B107" s="59">
        <v>7</v>
      </c>
      <c r="C107" s="680" t="s">
        <v>861</v>
      </c>
      <c r="D107" s="449">
        <f t="shared" si="1"/>
        <v>0</v>
      </c>
      <c r="E107" s="155" t="s">
        <v>89</v>
      </c>
      <c r="F107" s="514" t="s">
        <v>521</v>
      </c>
      <c r="G107" s="514" t="s">
        <v>521</v>
      </c>
      <c r="H107" s="514" t="s">
        <v>521</v>
      </c>
      <c r="I107" s="514" t="s">
        <v>521</v>
      </c>
      <c r="J107" s="18" t="s">
        <v>89</v>
      </c>
    </row>
    <row r="108" spans="2:10" ht="12.75" x14ac:dyDescent="0.2">
      <c r="B108" s="59">
        <v>8</v>
      </c>
      <c r="C108" s="680" t="s">
        <v>862</v>
      </c>
      <c r="D108" s="449">
        <f t="shared" si="1"/>
        <v>0</v>
      </c>
      <c r="E108" s="155" t="s">
        <v>89</v>
      </c>
      <c r="F108" s="514" t="s">
        <v>521</v>
      </c>
      <c r="G108" s="514" t="s">
        <v>521</v>
      </c>
      <c r="H108" s="514" t="s">
        <v>521</v>
      </c>
      <c r="I108" s="514" t="s">
        <v>521</v>
      </c>
      <c r="J108" s="18" t="s">
        <v>89</v>
      </c>
    </row>
    <row r="109" spans="2:10" ht="12.75" x14ac:dyDescent="0.2">
      <c r="B109" s="59">
        <v>9</v>
      </c>
      <c r="C109" s="680" t="s">
        <v>863</v>
      </c>
      <c r="D109" s="449">
        <f t="shared" si="1"/>
        <v>0</v>
      </c>
      <c r="E109" s="155" t="s">
        <v>89</v>
      </c>
      <c r="F109" s="514" t="s">
        <v>521</v>
      </c>
      <c r="G109" s="514" t="s">
        <v>521</v>
      </c>
      <c r="H109" s="514" t="s">
        <v>521</v>
      </c>
      <c r="I109" s="514" t="s">
        <v>521</v>
      </c>
      <c r="J109" s="18" t="s">
        <v>89</v>
      </c>
    </row>
    <row r="110" spans="2:10" ht="12.75" x14ac:dyDescent="0.2">
      <c r="B110" s="59">
        <v>10</v>
      </c>
      <c r="C110" s="680" t="s">
        <v>1006</v>
      </c>
      <c r="D110" s="449">
        <f t="shared" si="1"/>
        <v>0</v>
      </c>
      <c r="E110" s="155" t="s">
        <v>89</v>
      </c>
      <c r="F110" s="514" t="s">
        <v>521</v>
      </c>
      <c r="G110" s="514" t="s">
        <v>521</v>
      </c>
      <c r="H110" s="514" t="s">
        <v>521</v>
      </c>
      <c r="I110" s="514" t="s">
        <v>521</v>
      </c>
      <c r="J110" s="18" t="s">
        <v>89</v>
      </c>
    </row>
    <row r="111" spans="2:10" ht="12.75" x14ac:dyDescent="0.2">
      <c r="B111" s="59">
        <v>11</v>
      </c>
      <c r="C111" s="680" t="s">
        <v>1007</v>
      </c>
      <c r="D111" s="449">
        <f t="shared" si="1"/>
        <v>0</v>
      </c>
      <c r="E111" s="155" t="s">
        <v>89</v>
      </c>
      <c r="F111" s="514" t="s">
        <v>521</v>
      </c>
      <c r="G111" s="514" t="s">
        <v>521</v>
      </c>
      <c r="H111" s="514" t="s">
        <v>521</v>
      </c>
      <c r="I111" s="514" t="s">
        <v>521</v>
      </c>
      <c r="J111" s="18" t="s">
        <v>89</v>
      </c>
    </row>
    <row r="112" spans="2:10" ht="12.75" x14ac:dyDescent="0.2">
      <c r="B112" s="59">
        <v>12</v>
      </c>
      <c r="C112" s="681" t="s">
        <v>1005</v>
      </c>
      <c r="D112" s="441">
        <f t="shared" si="1"/>
        <v>0</v>
      </c>
      <c r="E112" s="161" t="s">
        <v>89</v>
      </c>
      <c r="F112" s="519" t="s">
        <v>521</v>
      </c>
      <c r="G112" s="519" t="s">
        <v>521</v>
      </c>
      <c r="H112" s="519" t="s">
        <v>521</v>
      </c>
      <c r="I112" s="519" t="s">
        <v>521</v>
      </c>
      <c r="J112" s="18" t="s">
        <v>89</v>
      </c>
    </row>
    <row r="113" spans="2:10" x14ac:dyDescent="0.25">
      <c r="J113" s="18" t="s">
        <v>89</v>
      </c>
    </row>
    <row r="114" spans="2:10" ht="25.5" x14ac:dyDescent="0.2">
      <c r="C114" s="651" t="s">
        <v>854</v>
      </c>
      <c r="D114" s="677" t="s">
        <v>518</v>
      </c>
      <c r="E114" s="307" t="s">
        <v>89</v>
      </c>
      <c r="F114" s="682" t="s">
        <v>1019</v>
      </c>
      <c r="G114" s="683" t="s">
        <v>1008</v>
      </c>
      <c r="H114" s="677" t="s">
        <v>1020</v>
      </c>
      <c r="J114" s="18" t="s">
        <v>89</v>
      </c>
    </row>
    <row r="115" spans="2:10" ht="12.75" x14ac:dyDescent="0.2">
      <c r="B115" s="59">
        <v>1</v>
      </c>
      <c r="C115" s="679" t="s">
        <v>855</v>
      </c>
      <c r="D115" s="357">
        <f t="shared" ref="D115:D126" si="2">F115*IF(G115="-",1,SUM(G115))</f>
        <v>0.1</v>
      </c>
      <c r="E115" s="304" t="s">
        <v>89</v>
      </c>
      <c r="F115" s="405">
        <v>0.1</v>
      </c>
      <c r="G115" s="355" t="s">
        <v>521</v>
      </c>
      <c r="H115" s="443">
        <f>SUM(D101)*SUM(D115)</f>
        <v>0</v>
      </c>
      <c r="J115" s="18" t="s">
        <v>89</v>
      </c>
    </row>
    <row r="116" spans="2:10" ht="12.75" x14ac:dyDescent="0.2">
      <c r="B116" s="59">
        <v>2</v>
      </c>
      <c r="C116" s="680" t="s">
        <v>856</v>
      </c>
      <c r="D116" s="358">
        <f t="shared" si="2"/>
        <v>0.08</v>
      </c>
      <c r="E116" s="304" t="s">
        <v>89</v>
      </c>
      <c r="F116" s="406">
        <v>0.08</v>
      </c>
      <c r="G116" s="356" t="s">
        <v>521</v>
      </c>
      <c r="H116" s="444">
        <f t="shared" ref="H116:H126" si="3">SUM(D102)*SUM(D116)</f>
        <v>0</v>
      </c>
      <c r="J116" s="18" t="s">
        <v>89</v>
      </c>
    </row>
    <row r="117" spans="2:10" ht="12.75" x14ac:dyDescent="0.2">
      <c r="B117" s="59">
        <v>3</v>
      </c>
      <c r="C117" s="680" t="s">
        <v>857</v>
      </c>
      <c r="D117" s="358">
        <f t="shared" si="2"/>
        <v>0.15</v>
      </c>
      <c r="E117" s="304" t="s">
        <v>89</v>
      </c>
      <c r="F117" s="406">
        <v>0.15</v>
      </c>
      <c r="G117" s="356" t="s">
        <v>521</v>
      </c>
      <c r="H117" s="444">
        <f t="shared" si="3"/>
        <v>0</v>
      </c>
      <c r="J117" s="18" t="s">
        <v>89</v>
      </c>
    </row>
    <row r="118" spans="2:10" ht="12.75" x14ac:dyDescent="0.2">
      <c r="B118" s="59">
        <v>4</v>
      </c>
      <c r="C118" s="680" t="s">
        <v>858</v>
      </c>
      <c r="D118" s="358">
        <f t="shared" si="2"/>
        <v>0.08</v>
      </c>
      <c r="E118" s="304" t="s">
        <v>89</v>
      </c>
      <c r="F118" s="406">
        <v>0.08</v>
      </c>
      <c r="G118" s="356" t="s">
        <v>521</v>
      </c>
      <c r="H118" s="444">
        <f t="shared" si="3"/>
        <v>0</v>
      </c>
      <c r="J118" s="18" t="s">
        <v>89</v>
      </c>
    </row>
    <row r="119" spans="2:10" ht="12.75" x14ac:dyDescent="0.2">
      <c r="B119" s="59">
        <v>5</v>
      </c>
      <c r="C119" s="680" t="s">
        <v>859</v>
      </c>
      <c r="D119" s="358">
        <f t="shared" si="2"/>
        <v>0.14000000000000001</v>
      </c>
      <c r="E119" s="304" t="s">
        <v>89</v>
      </c>
      <c r="F119" s="406">
        <v>0.14000000000000001</v>
      </c>
      <c r="G119" s="356" t="s">
        <v>521</v>
      </c>
      <c r="H119" s="444">
        <f t="shared" si="3"/>
        <v>0</v>
      </c>
      <c r="J119" s="18" t="s">
        <v>89</v>
      </c>
    </row>
    <row r="120" spans="2:10" ht="12.75" x14ac:dyDescent="0.2">
      <c r="B120" s="59">
        <v>6</v>
      </c>
      <c r="C120" s="680" t="s">
        <v>860</v>
      </c>
      <c r="D120" s="358">
        <f t="shared" si="2"/>
        <v>0.12</v>
      </c>
      <c r="E120" s="304" t="s">
        <v>89</v>
      </c>
      <c r="F120" s="406">
        <v>0.12</v>
      </c>
      <c r="G120" s="356" t="s">
        <v>521</v>
      </c>
      <c r="H120" s="444">
        <f t="shared" si="3"/>
        <v>0</v>
      </c>
      <c r="J120" s="18" t="s">
        <v>89</v>
      </c>
    </row>
    <row r="121" spans="2:10" ht="12.75" x14ac:dyDescent="0.2">
      <c r="B121" s="59">
        <v>7</v>
      </c>
      <c r="C121" s="680" t="s">
        <v>861</v>
      </c>
      <c r="D121" s="358">
        <f t="shared" si="2"/>
        <v>7.0000000000000007E-2</v>
      </c>
      <c r="E121" s="304" t="s">
        <v>89</v>
      </c>
      <c r="F121" s="406">
        <v>7.0000000000000007E-2</v>
      </c>
      <c r="G121" s="356" t="s">
        <v>521</v>
      </c>
      <c r="H121" s="444">
        <f t="shared" si="3"/>
        <v>0</v>
      </c>
      <c r="J121" s="18" t="s">
        <v>89</v>
      </c>
    </row>
    <row r="122" spans="2:10" ht="12.75" x14ac:dyDescent="0.2">
      <c r="B122" s="59">
        <v>8</v>
      </c>
      <c r="C122" s="680" t="s">
        <v>862</v>
      </c>
      <c r="D122" s="358">
        <f t="shared" si="2"/>
        <v>0.09</v>
      </c>
      <c r="E122" s="304" t="s">
        <v>89</v>
      </c>
      <c r="F122" s="406">
        <v>0.09</v>
      </c>
      <c r="G122" s="356" t="s">
        <v>521</v>
      </c>
      <c r="H122" s="444">
        <f t="shared" si="3"/>
        <v>0</v>
      </c>
      <c r="J122" s="18" t="s">
        <v>89</v>
      </c>
    </row>
    <row r="123" spans="2:10" ht="12.75" x14ac:dyDescent="0.2">
      <c r="B123" s="59">
        <v>9</v>
      </c>
      <c r="C123" s="680" t="s">
        <v>863</v>
      </c>
      <c r="D123" s="358">
        <f t="shared" si="2"/>
        <v>0.13</v>
      </c>
      <c r="E123" s="304" t="s">
        <v>89</v>
      </c>
      <c r="F123" s="406">
        <v>0.13</v>
      </c>
      <c r="G123" s="356" t="s">
        <v>521</v>
      </c>
      <c r="H123" s="444">
        <f t="shared" si="3"/>
        <v>0</v>
      </c>
      <c r="J123" s="18" t="s">
        <v>89</v>
      </c>
    </row>
    <row r="124" spans="2:10" ht="12.75" x14ac:dyDescent="0.2">
      <c r="B124" s="59">
        <v>10</v>
      </c>
      <c r="C124" s="680" t="s">
        <v>1006</v>
      </c>
      <c r="D124" s="358">
        <f t="shared" si="2"/>
        <v>0.17</v>
      </c>
      <c r="E124" s="304" t="s">
        <v>89</v>
      </c>
      <c r="F124" s="406">
        <v>0.17</v>
      </c>
      <c r="G124" s="537">
        <v>1</v>
      </c>
      <c r="H124" s="444">
        <f t="shared" si="3"/>
        <v>0</v>
      </c>
      <c r="J124" s="18" t="s">
        <v>89</v>
      </c>
    </row>
    <row r="125" spans="2:10" ht="12.75" x14ac:dyDescent="0.2">
      <c r="B125" s="59">
        <v>11</v>
      </c>
      <c r="C125" s="680" t="s">
        <v>1007</v>
      </c>
      <c r="D125" s="358">
        <f t="shared" si="2"/>
        <v>0.17</v>
      </c>
      <c r="E125" s="304" t="s">
        <v>89</v>
      </c>
      <c r="F125" s="406">
        <v>0.17</v>
      </c>
      <c r="G125" s="537">
        <v>1</v>
      </c>
      <c r="H125" s="444">
        <f t="shared" si="3"/>
        <v>0</v>
      </c>
      <c r="J125" s="18" t="s">
        <v>89</v>
      </c>
    </row>
    <row r="126" spans="2:10" ht="12.75" x14ac:dyDescent="0.2">
      <c r="B126" s="59">
        <v>12</v>
      </c>
      <c r="C126" s="681" t="s">
        <v>1005</v>
      </c>
      <c r="D126" s="359">
        <f t="shared" si="2"/>
        <v>0.17</v>
      </c>
      <c r="E126" s="308" t="s">
        <v>89</v>
      </c>
      <c r="F126" s="407">
        <v>0.17</v>
      </c>
      <c r="G126" s="538">
        <v>1</v>
      </c>
      <c r="H126" s="456">
        <f t="shared" si="3"/>
        <v>0</v>
      </c>
      <c r="J126" s="18" t="s">
        <v>89</v>
      </c>
    </row>
    <row r="127" spans="2:10" x14ac:dyDescent="0.25">
      <c r="F127" s="1"/>
      <c r="G127" s="1"/>
      <c r="H127" s="1"/>
      <c r="J127" s="339" t="s">
        <v>89</v>
      </c>
    </row>
    <row r="128" spans="2:10" s="17" customFormat="1" x14ac:dyDescent="0.25">
      <c r="C128" s="165" t="s">
        <v>1086</v>
      </c>
      <c r="D128" s="212"/>
      <c r="E128" s="5"/>
      <c r="J128" s="339" t="s">
        <v>89</v>
      </c>
    </row>
    <row r="129" spans="3:10" s="17" customFormat="1" x14ac:dyDescent="0.25">
      <c r="C129" s="4"/>
      <c r="D129" s="5"/>
      <c r="E129" s="5"/>
      <c r="J129" s="339" t="s">
        <v>89</v>
      </c>
    </row>
    <row r="130" spans="3:10" s="17" customFormat="1" ht="14.25" x14ac:dyDescent="0.2">
      <c r="C130" s="651" t="s">
        <v>1087</v>
      </c>
      <c r="D130" s="677" t="s">
        <v>849</v>
      </c>
      <c r="E130" s="157" t="s">
        <v>89</v>
      </c>
      <c r="F130" s="678" t="s">
        <v>1002</v>
      </c>
      <c r="G130" s="678" t="s">
        <v>1003</v>
      </c>
      <c r="H130" s="678" t="s">
        <v>1001</v>
      </c>
      <c r="I130" s="678" t="s">
        <v>1004</v>
      </c>
      <c r="J130" s="339" t="s">
        <v>89</v>
      </c>
    </row>
    <row r="131" spans="3:10" s="17" customFormat="1" ht="12.75" x14ac:dyDescent="0.2">
      <c r="C131" s="679" t="s">
        <v>1092</v>
      </c>
      <c r="D131" s="450">
        <f>MAX(F131,G131)+SUM(H131,I131)</f>
        <v>0</v>
      </c>
      <c r="E131" s="155" t="s">
        <v>89</v>
      </c>
      <c r="F131" s="528" t="s">
        <v>521</v>
      </c>
      <c r="G131" s="528" t="s">
        <v>521</v>
      </c>
      <c r="H131" s="528" t="s">
        <v>521</v>
      </c>
      <c r="I131" s="528" t="s">
        <v>521</v>
      </c>
      <c r="J131" s="339" t="s">
        <v>89</v>
      </c>
    </row>
    <row r="132" spans="3:10" s="17" customFormat="1" ht="12.75" x14ac:dyDescent="0.2">
      <c r="C132" s="680" t="s">
        <v>1090</v>
      </c>
      <c r="D132" s="449">
        <f>MAX(F132,G132)+SUM(H132,I132)</f>
        <v>0</v>
      </c>
      <c r="E132" s="155" t="s">
        <v>89</v>
      </c>
      <c r="F132" s="514" t="s">
        <v>521</v>
      </c>
      <c r="G132" s="514" t="s">
        <v>521</v>
      </c>
      <c r="H132" s="514" t="s">
        <v>521</v>
      </c>
      <c r="I132" s="514" t="s">
        <v>521</v>
      </c>
      <c r="J132" s="339" t="s">
        <v>89</v>
      </c>
    </row>
    <row r="133" spans="3:10" s="17" customFormat="1" ht="12.75" x14ac:dyDescent="0.2">
      <c r="C133" s="680" t="s">
        <v>1091</v>
      </c>
      <c r="D133" s="449">
        <f>MAX(F133,G133)+SUM(H133,I133)</f>
        <v>0</v>
      </c>
      <c r="E133" s="155" t="s">
        <v>89</v>
      </c>
      <c r="F133" s="514" t="s">
        <v>521</v>
      </c>
      <c r="G133" s="514" t="s">
        <v>521</v>
      </c>
      <c r="H133" s="514" t="s">
        <v>521</v>
      </c>
      <c r="I133" s="514" t="s">
        <v>521</v>
      </c>
      <c r="J133" s="339" t="s">
        <v>89</v>
      </c>
    </row>
    <row r="134" spans="3:10" s="17" customFormat="1" ht="12.75" x14ac:dyDescent="0.2">
      <c r="C134" s="681" t="s">
        <v>1088</v>
      </c>
      <c r="D134" s="441">
        <f>MAX(F134,G134)+SUM(H134,I134)</f>
        <v>0</v>
      </c>
      <c r="E134" s="161" t="s">
        <v>89</v>
      </c>
      <c r="F134" s="519" t="s">
        <v>521</v>
      </c>
      <c r="G134" s="519" t="s">
        <v>521</v>
      </c>
      <c r="H134" s="519" t="s">
        <v>521</v>
      </c>
      <c r="I134" s="519" t="s">
        <v>521</v>
      </c>
      <c r="J134" s="339" t="s">
        <v>89</v>
      </c>
    </row>
    <row r="135" spans="3:10" s="17" customFormat="1" x14ac:dyDescent="0.25">
      <c r="C135" s="4"/>
      <c r="D135" s="5"/>
      <c r="E135" s="5"/>
      <c r="J135" s="339" t="s">
        <v>89</v>
      </c>
    </row>
    <row r="136" spans="3:10" s="17" customFormat="1" ht="25.5" x14ac:dyDescent="0.2">
      <c r="C136" s="651" t="s">
        <v>1089</v>
      </c>
      <c r="D136" s="677" t="s">
        <v>518</v>
      </c>
      <c r="E136" s="307" t="s">
        <v>89</v>
      </c>
      <c r="F136" s="682" t="s">
        <v>1019</v>
      </c>
      <c r="G136" s="683" t="s">
        <v>1008</v>
      </c>
      <c r="H136" s="677" t="s">
        <v>1020</v>
      </c>
      <c r="J136" s="339" t="s">
        <v>89</v>
      </c>
    </row>
    <row r="137" spans="3:10" s="17" customFormat="1" ht="12.75" x14ac:dyDescent="0.2">
      <c r="C137" s="679" t="str">
        <f>C131</f>
        <v>Medical expense insurance</v>
      </c>
      <c r="D137" s="357">
        <f>F137*IF(G137="-",1,SUM(G137))</f>
        <v>0.05</v>
      </c>
      <c r="E137" s="304" t="s">
        <v>89</v>
      </c>
      <c r="F137" s="405">
        <v>0.05</v>
      </c>
      <c r="G137" s="355" t="s">
        <v>521</v>
      </c>
      <c r="H137" s="443">
        <f>SUM(D131)*SUM(D137)</f>
        <v>0</v>
      </c>
      <c r="J137" s="339" t="s">
        <v>89</v>
      </c>
    </row>
    <row r="138" spans="3:10" s="17" customFormat="1" ht="12.75" x14ac:dyDescent="0.2">
      <c r="C138" s="680" t="str">
        <f>C132</f>
        <v>Income protection insurance</v>
      </c>
      <c r="D138" s="358">
        <f>F138*IF(G138="-",1,SUM(G138))</f>
        <v>0.09</v>
      </c>
      <c r="E138" s="304" t="s">
        <v>89</v>
      </c>
      <c r="F138" s="406">
        <v>0.09</v>
      </c>
      <c r="G138" s="356" t="s">
        <v>521</v>
      </c>
      <c r="H138" s="444">
        <f>SUM(D132)*SUM(D138)</f>
        <v>0</v>
      </c>
      <c r="J138" s="339" t="s">
        <v>89</v>
      </c>
    </row>
    <row r="139" spans="3:10" s="17" customFormat="1" ht="12.75" x14ac:dyDescent="0.2">
      <c r="C139" s="680" t="str">
        <f>C133</f>
        <v>Workers' compensation insurance</v>
      </c>
      <c r="D139" s="358">
        <f>F139*IF(G139="-",1,SUM(G139))</f>
        <v>0.08</v>
      </c>
      <c r="E139" s="304" t="s">
        <v>89</v>
      </c>
      <c r="F139" s="406">
        <v>0.08</v>
      </c>
      <c r="G139" s="356" t="s">
        <v>521</v>
      </c>
      <c r="H139" s="444">
        <f>SUM(D133)*SUM(D139)</f>
        <v>0</v>
      </c>
      <c r="J139" s="339" t="s">
        <v>89</v>
      </c>
    </row>
    <row r="140" spans="3:10" s="17" customFormat="1" ht="12.75" x14ac:dyDescent="0.2">
      <c r="C140" s="681" t="str">
        <f>C134</f>
        <v>Non-prop. Health reinsurance</v>
      </c>
      <c r="D140" s="359">
        <f>F140*IF(G140="-",1,SUM(G140))</f>
        <v>0.17</v>
      </c>
      <c r="E140" s="308" t="s">
        <v>89</v>
      </c>
      <c r="F140" s="407">
        <v>0.17</v>
      </c>
      <c r="G140" s="538">
        <v>1</v>
      </c>
      <c r="H140" s="456">
        <f>SUM(D134)*SUM(D140)</f>
        <v>0</v>
      </c>
      <c r="J140" s="339" t="s">
        <v>89</v>
      </c>
    </row>
    <row r="141" spans="3:10" s="17" customFormat="1" x14ac:dyDescent="0.25">
      <c r="C141" s="4"/>
      <c r="D141" s="5"/>
      <c r="E141" s="5"/>
      <c r="J141" s="339" t="s">
        <v>89</v>
      </c>
    </row>
    <row r="142" spans="3:10" ht="56.25" x14ac:dyDescent="0.25">
      <c r="C142" s="361" t="s">
        <v>1025</v>
      </c>
      <c r="D142" s="212"/>
      <c r="E142" s="307" t="s">
        <v>89</v>
      </c>
      <c r="F142" s="265" t="s">
        <v>1081</v>
      </c>
      <c r="G142" s="1"/>
      <c r="H142" s="265" t="s">
        <v>1082</v>
      </c>
      <c r="J142" s="339" t="s">
        <v>89</v>
      </c>
    </row>
    <row r="143" spans="3:10" x14ac:dyDescent="0.25">
      <c r="C143" s="684" t="s">
        <v>168</v>
      </c>
      <c r="D143" s="685"/>
      <c r="E143" s="304" t="s">
        <v>89</v>
      </c>
      <c r="F143" s="528" t="s">
        <v>521</v>
      </c>
      <c r="G143" s="1"/>
      <c r="H143" s="528" t="s">
        <v>521</v>
      </c>
      <c r="J143" s="18" t="s">
        <v>89</v>
      </c>
    </row>
    <row r="144" spans="3:10" x14ac:dyDescent="0.25">
      <c r="C144" s="686" t="s">
        <v>169</v>
      </c>
      <c r="D144" s="687"/>
      <c r="E144" s="304" t="s">
        <v>89</v>
      </c>
      <c r="F144" s="514" t="s">
        <v>521</v>
      </c>
      <c r="G144" s="1"/>
      <c r="H144" s="514" t="s">
        <v>521</v>
      </c>
      <c r="J144" s="18" t="s">
        <v>89</v>
      </c>
    </row>
    <row r="145" spans="1:10" x14ac:dyDescent="0.25">
      <c r="C145" s="686" t="s">
        <v>170</v>
      </c>
      <c r="D145" s="687"/>
      <c r="E145" s="304" t="s">
        <v>89</v>
      </c>
      <c r="F145" s="514" t="s">
        <v>521</v>
      </c>
      <c r="G145" s="1"/>
      <c r="H145" s="514" t="s">
        <v>521</v>
      </c>
      <c r="J145" s="18" t="s">
        <v>89</v>
      </c>
    </row>
    <row r="146" spans="1:10" x14ac:dyDescent="0.25">
      <c r="C146" s="686" t="s">
        <v>171</v>
      </c>
      <c r="D146" s="687"/>
      <c r="E146" s="304" t="s">
        <v>89</v>
      </c>
      <c r="F146" s="514" t="s">
        <v>521</v>
      </c>
      <c r="G146" s="1"/>
      <c r="H146" s="514" t="s">
        <v>521</v>
      </c>
      <c r="J146" s="18" t="s">
        <v>89</v>
      </c>
    </row>
    <row r="147" spans="1:10" x14ac:dyDescent="0.25">
      <c r="C147" s="686" t="s">
        <v>172</v>
      </c>
      <c r="D147" s="687"/>
      <c r="E147" s="304" t="s">
        <v>89</v>
      </c>
      <c r="F147" s="514" t="s">
        <v>521</v>
      </c>
      <c r="G147" s="1"/>
      <c r="H147" s="514" t="s">
        <v>521</v>
      </c>
      <c r="J147" s="18" t="s">
        <v>89</v>
      </c>
    </row>
    <row r="148" spans="1:10" x14ac:dyDescent="0.25">
      <c r="C148" s="686" t="s">
        <v>173</v>
      </c>
      <c r="D148" s="687"/>
      <c r="E148" s="304" t="s">
        <v>89</v>
      </c>
      <c r="F148" s="514" t="s">
        <v>521</v>
      </c>
      <c r="G148" s="1"/>
      <c r="H148" s="514" t="s">
        <v>521</v>
      </c>
      <c r="J148" s="18" t="s">
        <v>89</v>
      </c>
    </row>
    <row r="149" spans="1:10" x14ac:dyDescent="0.25">
      <c r="C149" s="686" t="s">
        <v>174</v>
      </c>
      <c r="D149" s="687"/>
      <c r="E149" s="304" t="s">
        <v>89</v>
      </c>
      <c r="F149" s="514" t="s">
        <v>521</v>
      </c>
      <c r="G149" s="1"/>
      <c r="H149" s="514" t="s">
        <v>521</v>
      </c>
      <c r="J149" s="18" t="s">
        <v>89</v>
      </c>
    </row>
    <row r="150" spans="1:10" x14ac:dyDescent="0.25">
      <c r="C150" s="686" t="s">
        <v>175</v>
      </c>
      <c r="D150" s="687"/>
      <c r="E150" s="304" t="s">
        <v>89</v>
      </c>
      <c r="F150" s="514" t="s">
        <v>521</v>
      </c>
      <c r="G150" s="1"/>
      <c r="H150" s="514" t="s">
        <v>521</v>
      </c>
      <c r="J150" s="18" t="s">
        <v>89</v>
      </c>
    </row>
    <row r="151" spans="1:10" x14ac:dyDescent="0.25">
      <c r="C151" s="686" t="s">
        <v>176</v>
      </c>
      <c r="D151" s="687"/>
      <c r="E151" s="304" t="s">
        <v>89</v>
      </c>
      <c r="F151" s="514" t="s">
        <v>521</v>
      </c>
      <c r="G151" s="1"/>
      <c r="H151" s="514" t="s">
        <v>521</v>
      </c>
      <c r="J151" s="18" t="s">
        <v>89</v>
      </c>
    </row>
    <row r="152" spans="1:10" x14ac:dyDescent="0.25">
      <c r="C152" s="686" t="s">
        <v>177</v>
      </c>
      <c r="D152" s="687"/>
      <c r="E152" s="304" t="s">
        <v>89</v>
      </c>
      <c r="F152" s="514" t="s">
        <v>521</v>
      </c>
      <c r="G152" s="1"/>
      <c r="H152" s="514" t="s">
        <v>521</v>
      </c>
      <c r="J152" s="18" t="s">
        <v>89</v>
      </c>
    </row>
    <row r="153" spans="1:10" x14ac:dyDescent="0.25">
      <c r="C153" s="686" t="s">
        <v>178</v>
      </c>
      <c r="D153" s="687"/>
      <c r="E153" s="304" t="s">
        <v>89</v>
      </c>
      <c r="F153" s="514" t="s">
        <v>521</v>
      </c>
      <c r="G153" s="1"/>
      <c r="H153" s="514" t="s">
        <v>521</v>
      </c>
      <c r="J153" s="18" t="s">
        <v>89</v>
      </c>
    </row>
    <row r="154" spans="1:10" x14ac:dyDescent="0.25">
      <c r="C154" s="686" t="s">
        <v>179</v>
      </c>
      <c r="D154" s="687"/>
      <c r="E154" s="304" t="s">
        <v>89</v>
      </c>
      <c r="F154" s="514" t="s">
        <v>521</v>
      </c>
      <c r="G154" s="1"/>
      <c r="H154" s="514" t="s">
        <v>521</v>
      </c>
      <c r="J154" s="18" t="s">
        <v>89</v>
      </c>
    </row>
    <row r="155" spans="1:10" x14ac:dyDescent="0.25">
      <c r="C155" s="686" t="s">
        <v>180</v>
      </c>
      <c r="D155" s="687"/>
      <c r="E155" s="304" t="s">
        <v>89</v>
      </c>
      <c r="F155" s="514" t="s">
        <v>521</v>
      </c>
      <c r="G155" s="1"/>
      <c r="H155" s="514" t="s">
        <v>521</v>
      </c>
      <c r="J155" s="18" t="s">
        <v>89</v>
      </c>
    </row>
    <row r="156" spans="1:10" x14ac:dyDescent="0.25">
      <c r="C156" s="686" t="s">
        <v>181</v>
      </c>
      <c r="D156" s="687"/>
      <c r="E156" s="304" t="s">
        <v>89</v>
      </c>
      <c r="F156" s="514" t="s">
        <v>521</v>
      </c>
      <c r="G156" s="1"/>
      <c r="H156" s="514" t="s">
        <v>521</v>
      </c>
      <c r="J156" s="18" t="s">
        <v>89</v>
      </c>
    </row>
    <row r="157" spans="1:10" x14ac:dyDescent="0.25">
      <c r="C157" s="686" t="s">
        <v>182</v>
      </c>
      <c r="D157" s="687"/>
      <c r="E157" s="304" t="s">
        <v>89</v>
      </c>
      <c r="F157" s="514" t="s">
        <v>521</v>
      </c>
      <c r="G157" s="1"/>
      <c r="H157" s="514" t="s">
        <v>521</v>
      </c>
      <c r="J157" s="18" t="s">
        <v>89</v>
      </c>
    </row>
    <row r="158" spans="1:10" x14ac:dyDescent="0.25">
      <c r="C158" s="688" t="s">
        <v>183</v>
      </c>
      <c r="D158" s="689"/>
      <c r="E158" s="308" t="s">
        <v>89</v>
      </c>
      <c r="F158" s="519" t="s">
        <v>521</v>
      </c>
      <c r="G158" s="1"/>
      <c r="H158" s="519" t="s">
        <v>521</v>
      </c>
      <c r="J158" s="18" t="s">
        <v>89</v>
      </c>
    </row>
    <row r="159" spans="1:10" x14ac:dyDescent="0.25">
      <c r="F159" s="1"/>
      <c r="G159" s="1"/>
      <c r="H159" s="1"/>
      <c r="J159" s="18" t="s">
        <v>89</v>
      </c>
    </row>
    <row r="160" spans="1:10" ht="12.75" x14ac:dyDescent="0.2">
      <c r="A160" s="18" t="s">
        <v>89</v>
      </c>
      <c r="B160" s="18" t="s">
        <v>89</v>
      </c>
      <c r="C160" s="18" t="s">
        <v>89</v>
      </c>
      <c r="D160" s="18" t="s">
        <v>89</v>
      </c>
      <c r="E160" s="18" t="s">
        <v>89</v>
      </c>
      <c r="F160" s="18" t="s">
        <v>89</v>
      </c>
      <c r="G160" s="18" t="s">
        <v>89</v>
      </c>
      <c r="H160" s="18" t="s">
        <v>89</v>
      </c>
      <c r="I160" s="18" t="s">
        <v>89</v>
      </c>
      <c r="J160" s="18" t="s">
        <v>89</v>
      </c>
    </row>
    <row r="161" spans="3:8" ht="12.75" x14ac:dyDescent="0.2">
      <c r="C161" s="1"/>
      <c r="D161" s="1"/>
      <c r="E161" s="1"/>
      <c r="F161" s="1"/>
      <c r="G161" s="1"/>
      <c r="H161" s="1"/>
    </row>
    <row r="162" spans="3:8" ht="12.75" x14ac:dyDescent="0.2">
      <c r="C162" s="1"/>
      <c r="D162" s="1"/>
      <c r="E162" s="1"/>
      <c r="F162" s="1"/>
      <c r="G162" s="1"/>
      <c r="H162" s="1"/>
    </row>
    <row r="163" spans="3:8" ht="12.75" x14ac:dyDescent="0.2">
      <c r="C163" s="1"/>
      <c r="D163" s="1"/>
      <c r="E163" s="1"/>
      <c r="F163" s="1"/>
      <c r="G163" s="1"/>
      <c r="H163" s="1"/>
    </row>
    <row r="164" spans="3:8" ht="12.75" x14ac:dyDescent="0.2">
      <c r="C164" s="1"/>
      <c r="D164" s="1"/>
      <c r="E164" s="1"/>
      <c r="F164" s="1"/>
      <c r="G164" s="1"/>
      <c r="H164" s="1"/>
    </row>
  </sheetData>
  <pageMargins left="0.7" right="0.7" top="0.75" bottom="0.75" header="0.3" footer="0.3"/>
  <pageSetup paperSize="9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>
    <tabColor rgb="FFCCFFFF"/>
  </sheetPr>
  <dimension ref="A1:J80"/>
  <sheetViews>
    <sheetView topLeftCell="C46" zoomScaleNormal="100" workbookViewId="0">
      <selection activeCell="E54" sqref="E54"/>
    </sheetView>
  </sheetViews>
  <sheetFormatPr defaultRowHeight="15" outlineLevelCol="1" x14ac:dyDescent="0.25"/>
  <cols>
    <col min="1" max="1" width="6.85546875" hidden="1" customWidth="1" outlineLevel="1"/>
    <col min="2" max="2" width="9.140625" hidden="1" customWidth="1" outlineLevel="1"/>
    <col min="3" max="3" width="38.28515625" customWidth="1" collapsed="1"/>
    <col min="4" max="4" width="11.7109375" customWidth="1"/>
    <col min="5" max="5" width="11.7109375" style="208" customWidth="1"/>
    <col min="6" max="6" width="2.28515625" customWidth="1"/>
    <col min="7" max="8" width="11.7109375" customWidth="1"/>
    <col min="9" max="9" width="1.85546875" bestFit="1" customWidth="1"/>
    <col min="10" max="10" width="11.42578125" customWidth="1"/>
  </cols>
  <sheetData>
    <row r="1" spans="1:10" ht="15.75" x14ac:dyDescent="0.25">
      <c r="A1" s="1"/>
      <c r="B1" s="1"/>
      <c r="C1" s="499" t="str">
        <f>Participant!$A$1</f>
        <v>&lt;Participant's name&gt;</v>
      </c>
      <c r="D1" s="500" t="s">
        <v>981</v>
      </c>
      <c r="E1" s="501"/>
      <c r="F1" s="502"/>
      <c r="G1" s="503"/>
      <c r="H1" s="485" t="str">
        <f>Participant!$E$1</f>
        <v>2013 - HUF (Thousands)</v>
      </c>
      <c r="I1" s="18" t="s">
        <v>89</v>
      </c>
    </row>
    <row r="2" spans="1:10" x14ac:dyDescent="0.25">
      <c r="A2" s="1"/>
      <c r="B2" s="1"/>
      <c r="C2" s="486" t="str">
        <f>Participant!$A$2</f>
        <v>-</v>
      </c>
      <c r="D2" s="504" t="s">
        <v>982</v>
      </c>
      <c r="E2" s="505"/>
      <c r="F2" s="505"/>
      <c r="G2" s="487"/>
      <c r="H2" s="492" t="str">
        <f>Version</f>
        <v>2013 12 31</v>
      </c>
      <c r="I2" s="18" t="s">
        <v>89</v>
      </c>
    </row>
    <row r="3" spans="1:10" x14ac:dyDescent="0.25">
      <c r="H3" s="249" t="str">
        <f>HYPERLINK("#'P.index'!H16","&gt;&gt; index sheet")</f>
        <v>&gt;&gt; index sheet</v>
      </c>
      <c r="I3" s="18" t="s">
        <v>89</v>
      </c>
    </row>
    <row r="4" spans="1:10" x14ac:dyDescent="0.25">
      <c r="C4" s="350" t="s">
        <v>114</v>
      </c>
      <c r="D4" s="30"/>
      <c r="E4" s="97"/>
      <c r="G4" s="354" t="s">
        <v>974</v>
      </c>
      <c r="H4" s="349"/>
      <c r="I4" s="18" t="s">
        <v>89</v>
      </c>
    </row>
    <row r="5" spans="1:10" ht="22.5" customHeight="1" x14ac:dyDescent="0.25">
      <c r="C5" s="1101" t="s">
        <v>0</v>
      </c>
      <c r="D5" s="620" t="s">
        <v>847</v>
      </c>
      <c r="E5" s="621" t="s">
        <v>88</v>
      </c>
      <c r="G5" s="1103" t="s">
        <v>141</v>
      </c>
      <c r="H5" s="1103" t="s">
        <v>143</v>
      </c>
      <c r="I5" s="18" t="s">
        <v>89</v>
      </c>
      <c r="J5" s="1105" t="s">
        <v>142</v>
      </c>
    </row>
    <row r="6" spans="1:10" x14ac:dyDescent="0.25">
      <c r="C6" s="1102"/>
      <c r="D6" s="622">
        <v>41639</v>
      </c>
      <c r="E6" s="623"/>
      <c r="G6" s="1104"/>
      <c r="H6" s="1104"/>
      <c r="I6" s="18" t="s">
        <v>89</v>
      </c>
      <c r="J6" s="1106"/>
    </row>
    <row r="7" spans="1:10" x14ac:dyDescent="0.25">
      <c r="C7" s="624" t="s">
        <v>2</v>
      </c>
      <c r="D7" s="449">
        <f>BS!J6</f>
        <v>0</v>
      </c>
      <c r="E7" s="416"/>
      <c r="G7" s="416"/>
      <c r="H7" s="449">
        <f>-SUM(D7)</f>
        <v>0</v>
      </c>
      <c r="I7" s="18" t="s">
        <v>89</v>
      </c>
      <c r="J7" s="417"/>
    </row>
    <row r="8" spans="1:10" x14ac:dyDescent="0.25">
      <c r="C8" s="614" t="s">
        <v>3</v>
      </c>
      <c r="D8" s="449">
        <f>BS!J41</f>
        <v>0</v>
      </c>
      <c r="E8" s="416"/>
      <c r="G8" s="416"/>
      <c r="H8" s="449">
        <f>-SUM(D8)</f>
        <v>0</v>
      </c>
      <c r="I8" s="18" t="s">
        <v>89</v>
      </c>
      <c r="J8" s="416"/>
    </row>
    <row r="9" spans="1:10" x14ac:dyDescent="0.25">
      <c r="C9" s="614" t="s">
        <v>4</v>
      </c>
      <c r="D9" s="449">
        <f>BS!J7</f>
        <v>0</v>
      </c>
      <c r="E9" s="449" t="str">
        <f>'Shared-2013'!D7</f>
        <v>-</v>
      </c>
      <c r="G9" s="514"/>
      <c r="H9" s="514"/>
      <c r="I9" s="18" t="s">
        <v>89</v>
      </c>
      <c r="J9" s="345" t="b">
        <f t="shared" ref="J9:J49" si="0">(SUM(G9:H9)+SUM(D9))=SUM(E9)</f>
        <v>1</v>
      </c>
    </row>
    <row r="10" spans="1:10" x14ac:dyDescent="0.25">
      <c r="C10" s="614" t="s">
        <v>5</v>
      </c>
      <c r="D10" s="449">
        <f>BS!J8</f>
        <v>0</v>
      </c>
      <c r="E10" s="449" t="str">
        <f>'0. Alap'!D19</f>
        <v>-</v>
      </c>
      <c r="G10" s="514"/>
      <c r="H10" s="514"/>
      <c r="I10" s="18" t="s">
        <v>89</v>
      </c>
      <c r="J10" s="345" t="b">
        <f t="shared" si="0"/>
        <v>1</v>
      </c>
    </row>
    <row r="11" spans="1:10" x14ac:dyDescent="0.25">
      <c r="C11" s="614" t="s">
        <v>6</v>
      </c>
      <c r="D11" s="449">
        <f>BS!J9</f>
        <v>0</v>
      </c>
      <c r="E11" s="449" t="str">
        <f>'Shared-2013'!D9</f>
        <v>-</v>
      </c>
      <c r="G11" s="514"/>
      <c r="H11" s="514"/>
      <c r="I11" s="18" t="s">
        <v>89</v>
      </c>
      <c r="J11" s="345" t="b">
        <f t="shared" si="0"/>
        <v>1</v>
      </c>
    </row>
    <row r="12" spans="1:10" x14ac:dyDescent="0.25">
      <c r="C12" s="618" t="s">
        <v>7</v>
      </c>
      <c r="D12" s="449">
        <f>BS!J10</f>
        <v>0</v>
      </c>
      <c r="E12" s="449" t="str">
        <f>'Shared-2013'!D10</f>
        <v>-</v>
      </c>
      <c r="G12" s="514"/>
      <c r="H12" s="514"/>
      <c r="I12" s="18" t="s">
        <v>89</v>
      </c>
      <c r="J12" s="345" t="b">
        <f t="shared" si="0"/>
        <v>1</v>
      </c>
    </row>
    <row r="13" spans="1:10" x14ac:dyDescent="0.25">
      <c r="C13" s="625" t="s">
        <v>77</v>
      </c>
      <c r="D13" s="450">
        <f>SUM(D$14:D$16,D$19,D$24:D$27)</f>
        <v>0</v>
      </c>
      <c r="E13" s="450">
        <f>'Shared-2013'!D11</f>
        <v>0</v>
      </c>
      <c r="G13" s="443">
        <f>SUM(G$14:G$16,G$19,G$24:G$27)</f>
        <v>0</v>
      </c>
      <c r="H13" s="443">
        <f>SUM(H$14:H$16,H$19,H$24:H$27)</f>
        <v>0</v>
      </c>
      <c r="I13" s="18" t="s">
        <v>89</v>
      </c>
      <c r="J13" s="345" t="b">
        <f t="shared" si="0"/>
        <v>1</v>
      </c>
    </row>
    <row r="14" spans="1:10" x14ac:dyDescent="0.25">
      <c r="C14" s="626" t="s">
        <v>125</v>
      </c>
      <c r="D14" s="449">
        <f>BS!J12</f>
        <v>0</v>
      </c>
      <c r="E14" s="449" t="str">
        <f>'Shared-2013'!D12</f>
        <v>-</v>
      </c>
      <c r="G14" s="514"/>
      <c r="H14" s="514"/>
      <c r="I14" s="18" t="s">
        <v>89</v>
      </c>
      <c r="J14" s="345" t="b">
        <f t="shared" si="0"/>
        <v>1</v>
      </c>
    </row>
    <row r="15" spans="1:10" x14ac:dyDescent="0.25">
      <c r="C15" s="626" t="s">
        <v>124</v>
      </c>
      <c r="D15" s="449">
        <f>BS!J13</f>
        <v>0</v>
      </c>
      <c r="E15" s="449" t="str">
        <f>'Shared-2013'!D13</f>
        <v>-</v>
      </c>
      <c r="G15" s="514"/>
      <c r="H15" s="514"/>
      <c r="I15" s="18" t="s">
        <v>89</v>
      </c>
      <c r="J15" s="345" t="b">
        <f t="shared" si="0"/>
        <v>1</v>
      </c>
    </row>
    <row r="16" spans="1:10" x14ac:dyDescent="0.25">
      <c r="C16" s="626" t="s">
        <v>68</v>
      </c>
      <c r="D16" s="449">
        <f>SUM(D$17:D$18)</f>
        <v>0</v>
      </c>
      <c r="E16" s="449">
        <f>'Shared-2013'!D14</f>
        <v>0</v>
      </c>
      <c r="G16" s="444">
        <f>SUM(G$17:G$18)</f>
        <v>0</v>
      </c>
      <c r="H16" s="444">
        <f>SUM(H$17:H$18)</f>
        <v>0</v>
      </c>
      <c r="I16" s="18" t="s">
        <v>89</v>
      </c>
      <c r="J16" s="345" t="b">
        <f t="shared" si="0"/>
        <v>1</v>
      </c>
    </row>
    <row r="17" spans="3:10" x14ac:dyDescent="0.25">
      <c r="C17" s="627" t="s">
        <v>438</v>
      </c>
      <c r="D17" s="449">
        <f>BS!J15</f>
        <v>0</v>
      </c>
      <c r="E17" s="449" t="str">
        <f>'Shared-2013'!D15</f>
        <v>-</v>
      </c>
      <c r="G17" s="514"/>
      <c r="H17" s="514"/>
      <c r="I17" s="18" t="s">
        <v>89</v>
      </c>
      <c r="J17" s="345" t="b">
        <f t="shared" si="0"/>
        <v>1</v>
      </c>
    </row>
    <row r="18" spans="3:10" x14ac:dyDescent="0.25">
      <c r="C18" s="627" t="s">
        <v>439</v>
      </c>
      <c r="D18" s="449">
        <f>BS!J16</f>
        <v>0</v>
      </c>
      <c r="E18" s="449" t="str">
        <f>'Shared-2013'!D16</f>
        <v>-</v>
      </c>
      <c r="G18" s="514"/>
      <c r="H18" s="514"/>
      <c r="I18" s="18" t="s">
        <v>89</v>
      </c>
      <c r="J18" s="345" t="b">
        <f t="shared" si="0"/>
        <v>1</v>
      </c>
    </row>
    <row r="19" spans="3:10" x14ac:dyDescent="0.25">
      <c r="C19" s="626" t="s">
        <v>69</v>
      </c>
      <c r="D19" s="449">
        <f>SUM(D$20:D$23)</f>
        <v>0</v>
      </c>
      <c r="E19" s="449">
        <f>'Shared-2013'!D17</f>
        <v>0</v>
      </c>
      <c r="G19" s="444">
        <f>SUM(G$20:G$23)</f>
        <v>0</v>
      </c>
      <c r="H19" s="444">
        <f>SUM(H$20:H$23)</f>
        <v>0</v>
      </c>
      <c r="I19" s="18" t="s">
        <v>89</v>
      </c>
      <c r="J19" s="345" t="b">
        <f t="shared" si="0"/>
        <v>1</v>
      </c>
    </row>
    <row r="20" spans="3:10" x14ac:dyDescent="0.25">
      <c r="C20" s="627" t="s">
        <v>76</v>
      </c>
      <c r="D20" s="449">
        <f>BS!J18</f>
        <v>0</v>
      </c>
      <c r="E20" s="449" t="str">
        <f>'Shared-2013'!D18</f>
        <v>-</v>
      </c>
      <c r="G20" s="514"/>
      <c r="H20" s="514"/>
      <c r="I20" s="18" t="s">
        <v>89</v>
      </c>
      <c r="J20" s="345" t="b">
        <f t="shared" si="0"/>
        <v>1</v>
      </c>
    </row>
    <row r="21" spans="3:10" x14ac:dyDescent="0.25">
      <c r="C21" s="627" t="s">
        <v>123</v>
      </c>
      <c r="D21" s="449">
        <f>BS!J19</f>
        <v>0</v>
      </c>
      <c r="E21" s="449" t="str">
        <f>'Shared-2013'!D19</f>
        <v>-</v>
      </c>
      <c r="G21" s="514"/>
      <c r="H21" s="514"/>
      <c r="I21" s="18" t="s">
        <v>89</v>
      </c>
      <c r="J21" s="345" t="b">
        <f t="shared" si="0"/>
        <v>1</v>
      </c>
    </row>
    <row r="22" spans="3:10" x14ac:dyDescent="0.25">
      <c r="C22" s="627" t="s">
        <v>122</v>
      </c>
      <c r="D22" s="449">
        <f>BS!J20</f>
        <v>0</v>
      </c>
      <c r="E22" s="449" t="str">
        <f>'Shared-2013'!D20</f>
        <v>-</v>
      </c>
      <c r="G22" s="514"/>
      <c r="H22" s="514"/>
      <c r="I22" s="18" t="s">
        <v>89</v>
      </c>
      <c r="J22" s="345" t="b">
        <f t="shared" si="0"/>
        <v>1</v>
      </c>
    </row>
    <row r="23" spans="3:10" x14ac:dyDescent="0.25">
      <c r="C23" s="627" t="s">
        <v>121</v>
      </c>
      <c r="D23" s="449">
        <f>BS!J21</f>
        <v>0</v>
      </c>
      <c r="E23" s="449" t="str">
        <f>'Shared-2013'!D21</f>
        <v>-</v>
      </c>
      <c r="G23" s="514"/>
      <c r="H23" s="514"/>
      <c r="I23" s="18" t="s">
        <v>89</v>
      </c>
      <c r="J23" s="345" t="b">
        <f t="shared" si="0"/>
        <v>1</v>
      </c>
    </row>
    <row r="24" spans="3:10" x14ac:dyDescent="0.25">
      <c r="C24" s="626" t="s">
        <v>120</v>
      </c>
      <c r="D24" s="449">
        <f>BS!J22</f>
        <v>0</v>
      </c>
      <c r="E24" s="449" t="str">
        <f>'Shared-2013'!D22</f>
        <v>-</v>
      </c>
      <c r="G24" s="514"/>
      <c r="H24" s="514"/>
      <c r="I24" s="18" t="s">
        <v>89</v>
      </c>
      <c r="J24" s="345" t="b">
        <f t="shared" si="0"/>
        <v>1</v>
      </c>
    </row>
    <row r="25" spans="3:10" x14ac:dyDescent="0.25">
      <c r="C25" s="626" t="s">
        <v>26</v>
      </c>
      <c r="D25" s="449">
        <f>BS!J23</f>
        <v>0</v>
      </c>
      <c r="E25" s="449" t="str">
        <f>'Shared-2013'!D23</f>
        <v>-</v>
      </c>
      <c r="G25" s="514"/>
      <c r="H25" s="514"/>
      <c r="I25" s="18" t="s">
        <v>89</v>
      </c>
      <c r="J25" s="345" t="b">
        <f t="shared" si="0"/>
        <v>1</v>
      </c>
    </row>
    <row r="26" spans="3:10" x14ac:dyDescent="0.25">
      <c r="C26" s="626" t="s">
        <v>119</v>
      </c>
      <c r="D26" s="449">
        <f>BS!J24</f>
        <v>0</v>
      </c>
      <c r="E26" s="449" t="str">
        <f>'Shared-2013'!D24</f>
        <v>-</v>
      </c>
      <c r="G26" s="514"/>
      <c r="H26" s="514"/>
      <c r="I26" s="18" t="s">
        <v>89</v>
      </c>
      <c r="J26" s="345" t="b">
        <f t="shared" si="0"/>
        <v>1</v>
      </c>
    </row>
    <row r="27" spans="3:10" x14ac:dyDescent="0.25">
      <c r="C27" s="626" t="s">
        <v>81</v>
      </c>
      <c r="D27" s="449">
        <f>BS!J25</f>
        <v>0</v>
      </c>
      <c r="E27" s="449" t="str">
        <f>'Shared-2013'!D25</f>
        <v>-</v>
      </c>
      <c r="G27" s="514"/>
      <c r="H27" s="514"/>
      <c r="I27" s="18" t="s">
        <v>89</v>
      </c>
      <c r="J27" s="345" t="b">
        <f t="shared" si="0"/>
        <v>1</v>
      </c>
    </row>
    <row r="28" spans="3:10" x14ac:dyDescent="0.25">
      <c r="C28" s="624" t="s">
        <v>967</v>
      </c>
      <c r="D28" s="451">
        <f>BS!J26</f>
        <v>0</v>
      </c>
      <c r="E28" s="451" t="str">
        <f>'Shared-2013'!D26</f>
        <v>-</v>
      </c>
      <c r="G28" s="518"/>
      <c r="H28" s="518"/>
      <c r="I28" s="18" t="s">
        <v>89</v>
      </c>
      <c r="J28" s="345" t="b">
        <f t="shared" si="0"/>
        <v>1</v>
      </c>
    </row>
    <row r="29" spans="3:10" x14ac:dyDescent="0.25">
      <c r="C29" s="624" t="s">
        <v>9</v>
      </c>
      <c r="D29" s="450">
        <f>SUM(D$30:D$31)</f>
        <v>0</v>
      </c>
      <c r="E29" s="450">
        <f>'Shared-2013'!D27</f>
        <v>0</v>
      </c>
      <c r="G29" s="443">
        <f>SUM(G$30:G$31)</f>
        <v>0</v>
      </c>
      <c r="H29" s="443">
        <f>SUM(H$30:H$31)</f>
        <v>0</v>
      </c>
      <c r="I29" s="18" t="s">
        <v>89</v>
      </c>
      <c r="J29" s="345" t="b">
        <f t="shared" si="0"/>
        <v>1</v>
      </c>
    </row>
    <row r="30" spans="3:10" x14ac:dyDescent="0.25">
      <c r="C30" s="628" t="s">
        <v>115</v>
      </c>
      <c r="D30" s="449">
        <f>BS!J28</f>
        <v>0</v>
      </c>
      <c r="E30" s="449" t="str">
        <f>'Shared-2013'!D28</f>
        <v>-</v>
      </c>
      <c r="G30" s="514"/>
      <c r="H30" s="514"/>
      <c r="I30" s="18" t="s">
        <v>89</v>
      </c>
      <c r="J30" s="345" t="b">
        <f t="shared" si="0"/>
        <v>1</v>
      </c>
    </row>
    <row r="31" spans="3:10" x14ac:dyDescent="0.25">
      <c r="C31" s="628" t="s">
        <v>116</v>
      </c>
      <c r="D31" s="449">
        <f>BS!J29</f>
        <v>0</v>
      </c>
      <c r="E31" s="449" t="str">
        <f>'Shared-2013'!D29</f>
        <v>-</v>
      </c>
      <c r="G31" s="514"/>
      <c r="H31" s="514"/>
      <c r="I31" s="18" t="s">
        <v>89</v>
      </c>
      <c r="J31" s="345" t="b">
        <f t="shared" si="0"/>
        <v>1</v>
      </c>
    </row>
    <row r="32" spans="3:10" x14ac:dyDescent="0.25">
      <c r="C32" s="624" t="s">
        <v>10</v>
      </c>
      <c r="D32" s="450">
        <f>BS!J30</f>
        <v>0</v>
      </c>
      <c r="E32" s="450" t="str">
        <f>'Shared-2013'!D30</f>
        <v>-</v>
      </c>
      <c r="G32" s="528"/>
      <c r="H32" s="528"/>
      <c r="I32" s="18" t="s">
        <v>89</v>
      </c>
      <c r="J32" s="345" t="b">
        <f t="shared" si="0"/>
        <v>1</v>
      </c>
    </row>
    <row r="33" spans="3:10" x14ac:dyDescent="0.25">
      <c r="C33" s="629" t="s">
        <v>346</v>
      </c>
      <c r="D33" s="450">
        <f>SUM(D$34,D$37,D$40)</f>
        <v>0</v>
      </c>
      <c r="E33" s="450">
        <f>SUM('0. Alap'!D11)</f>
        <v>0</v>
      </c>
      <c r="G33" s="443">
        <f>SUM(G$34,G$37,G$40)</f>
        <v>0</v>
      </c>
      <c r="H33" s="443">
        <f>SUM(H$34,H$37,H$40)</f>
        <v>0</v>
      </c>
      <c r="I33" s="18" t="s">
        <v>89</v>
      </c>
      <c r="J33" s="345" t="b">
        <f t="shared" si="0"/>
        <v>1</v>
      </c>
    </row>
    <row r="34" spans="3:10" x14ac:dyDescent="0.25">
      <c r="C34" s="626" t="s">
        <v>345</v>
      </c>
      <c r="D34" s="449">
        <f>SUM(D$35:D$36)</f>
        <v>0</v>
      </c>
      <c r="E34" s="449">
        <f>SUM(E35:E36)</f>
        <v>0</v>
      </c>
      <c r="G34" s="444">
        <f>SUM(G$35:G$36)</f>
        <v>0</v>
      </c>
      <c r="H34" s="444">
        <f>SUM(H$35:H$36)</f>
        <v>0</v>
      </c>
      <c r="I34" s="18" t="s">
        <v>89</v>
      </c>
      <c r="J34" s="345" t="b">
        <f t="shared" si="0"/>
        <v>1</v>
      </c>
    </row>
    <row r="35" spans="3:10" x14ac:dyDescent="0.25">
      <c r="C35" s="630" t="s">
        <v>117</v>
      </c>
      <c r="D35" s="449">
        <f>BS!J34</f>
        <v>0</v>
      </c>
      <c r="E35" s="449">
        <f>SUM('0. Alap'!D12)</f>
        <v>0</v>
      </c>
      <c r="G35" s="514"/>
      <c r="H35" s="514"/>
      <c r="I35" s="18" t="s">
        <v>89</v>
      </c>
      <c r="J35" s="345" t="b">
        <f t="shared" si="0"/>
        <v>1</v>
      </c>
    </row>
    <row r="36" spans="3:10" x14ac:dyDescent="0.25">
      <c r="C36" s="630" t="s">
        <v>118</v>
      </c>
      <c r="D36" s="449">
        <f>BS!J35</f>
        <v>0</v>
      </c>
      <c r="E36" s="449">
        <f>SUM('0. Alap'!D13)</f>
        <v>0</v>
      </c>
      <c r="G36" s="514"/>
      <c r="H36" s="514"/>
      <c r="I36" s="18" t="s">
        <v>89</v>
      </c>
      <c r="J36" s="345" t="b">
        <f t="shared" si="0"/>
        <v>1</v>
      </c>
    </row>
    <row r="37" spans="3:10" x14ac:dyDescent="0.25">
      <c r="C37" s="626" t="s">
        <v>983</v>
      </c>
      <c r="D37" s="449">
        <f>SUM(D$38:D$39)</f>
        <v>0</v>
      </c>
      <c r="E37" s="449">
        <f>SUM(E38:E39)</f>
        <v>0</v>
      </c>
      <c r="G37" s="444">
        <f>SUM(G$38:G$39)</f>
        <v>0</v>
      </c>
      <c r="H37" s="444">
        <f>SUM(H$38:H$39)</f>
        <v>0</v>
      </c>
      <c r="I37" s="18" t="s">
        <v>89</v>
      </c>
      <c r="J37" s="345" t="b">
        <f t="shared" si="0"/>
        <v>1</v>
      </c>
    </row>
    <row r="38" spans="3:10" x14ac:dyDescent="0.25">
      <c r="C38" s="630" t="s">
        <v>126</v>
      </c>
      <c r="D38" s="449">
        <f>BS!J37</f>
        <v>0</v>
      </c>
      <c r="E38" s="449">
        <f>SUM('0. Alap'!D14)</f>
        <v>0</v>
      </c>
      <c r="G38" s="514"/>
      <c r="H38" s="514"/>
      <c r="I38" s="18" t="s">
        <v>89</v>
      </c>
      <c r="J38" s="345" t="b">
        <f t="shared" si="0"/>
        <v>1</v>
      </c>
    </row>
    <row r="39" spans="3:10" x14ac:dyDescent="0.25">
      <c r="C39" s="631" t="s">
        <v>984</v>
      </c>
      <c r="D39" s="449">
        <f>BS!J38</f>
        <v>0</v>
      </c>
      <c r="E39" s="449">
        <f>SUM('0. Alap'!D15:D16)</f>
        <v>0</v>
      </c>
      <c r="G39" s="514"/>
      <c r="H39" s="514"/>
      <c r="I39" s="18" t="s">
        <v>89</v>
      </c>
      <c r="J39" s="345" t="b">
        <f t="shared" si="0"/>
        <v>1</v>
      </c>
    </row>
    <row r="40" spans="3:10" x14ac:dyDescent="0.25">
      <c r="C40" s="626" t="s">
        <v>127</v>
      </c>
      <c r="D40" s="449">
        <f>BS!J40</f>
        <v>0</v>
      </c>
      <c r="E40" s="449">
        <f>SUM('0. Alap'!D17)</f>
        <v>0</v>
      </c>
      <c r="G40" s="514"/>
      <c r="H40" s="514"/>
      <c r="I40" s="18" t="s">
        <v>89</v>
      </c>
      <c r="J40" s="345" t="b">
        <f t="shared" si="0"/>
        <v>1</v>
      </c>
    </row>
    <row r="41" spans="3:10" x14ac:dyDescent="0.25">
      <c r="C41" s="624" t="s">
        <v>11</v>
      </c>
      <c r="D41" s="450">
        <f>BS!J31</f>
        <v>0</v>
      </c>
      <c r="E41" s="450" t="str">
        <f>'Shared-2013'!D39</f>
        <v>-</v>
      </c>
      <c r="G41" s="528"/>
      <c r="H41" s="528"/>
      <c r="I41" s="18" t="s">
        <v>89</v>
      </c>
      <c r="J41" s="345" t="b">
        <f t="shared" si="0"/>
        <v>1</v>
      </c>
    </row>
    <row r="42" spans="3:10" x14ac:dyDescent="0.25">
      <c r="C42" s="614" t="s">
        <v>12</v>
      </c>
      <c r="D42" s="449">
        <f>BS!J43</f>
        <v>0</v>
      </c>
      <c r="E42" s="449" t="str">
        <f>'Shared-2013'!D40</f>
        <v>-</v>
      </c>
      <c r="G42" s="514"/>
      <c r="H42" s="514"/>
      <c r="I42" s="18" t="s">
        <v>89</v>
      </c>
      <c r="J42" s="345" t="b">
        <f t="shared" si="0"/>
        <v>1</v>
      </c>
    </row>
    <row r="43" spans="3:10" x14ac:dyDescent="0.25">
      <c r="C43" s="614" t="s">
        <v>13</v>
      </c>
      <c r="D43" s="449">
        <f>BS!J44</f>
        <v>0</v>
      </c>
      <c r="E43" s="449" t="str">
        <f>'Shared-2013'!D41</f>
        <v>-</v>
      </c>
      <c r="G43" s="514"/>
      <c r="H43" s="514"/>
      <c r="I43" s="18" t="s">
        <v>89</v>
      </c>
      <c r="J43" s="345" t="b">
        <f t="shared" si="0"/>
        <v>1</v>
      </c>
    </row>
    <row r="44" spans="3:10" x14ac:dyDescent="0.25">
      <c r="C44" s="614" t="s">
        <v>14</v>
      </c>
      <c r="D44" s="449">
        <f>BS!J46</f>
        <v>0</v>
      </c>
      <c r="E44" s="449" t="str">
        <f>'Shared-2013'!D42</f>
        <v>-</v>
      </c>
      <c r="G44" s="514"/>
      <c r="H44" s="514"/>
      <c r="I44" s="18" t="s">
        <v>89</v>
      </c>
      <c r="J44" s="345" t="b">
        <f t="shared" si="0"/>
        <v>1</v>
      </c>
    </row>
    <row r="45" spans="3:10" x14ac:dyDescent="0.25">
      <c r="C45" s="614" t="s">
        <v>15</v>
      </c>
      <c r="D45" s="449">
        <f>BS!J47</f>
        <v>0</v>
      </c>
      <c r="E45" s="449" t="str">
        <f>'Shared-2013'!D43</f>
        <v>-</v>
      </c>
      <c r="G45" s="514"/>
      <c r="H45" s="514"/>
      <c r="I45" s="18" t="s">
        <v>89</v>
      </c>
      <c r="J45" s="345" t="b">
        <f t="shared" si="0"/>
        <v>1</v>
      </c>
    </row>
    <row r="46" spans="3:10" x14ac:dyDescent="0.25">
      <c r="C46" s="599" t="s">
        <v>1083</v>
      </c>
      <c r="D46" s="449">
        <f>BS!J48</f>
        <v>0</v>
      </c>
      <c r="E46" s="449" t="str">
        <f>'Shared-2013'!D44</f>
        <v>-</v>
      </c>
      <c r="G46" s="514"/>
      <c r="H46" s="514"/>
      <c r="I46" s="18" t="s">
        <v>89</v>
      </c>
      <c r="J46" s="345" t="b">
        <f t="shared" si="0"/>
        <v>1</v>
      </c>
    </row>
    <row r="47" spans="3:10" x14ac:dyDescent="0.25">
      <c r="C47" s="614" t="s">
        <v>17</v>
      </c>
      <c r="D47" s="449">
        <f>BS!J42</f>
        <v>0</v>
      </c>
      <c r="E47" s="449" t="str">
        <f>'Shared-2013'!D45</f>
        <v>-</v>
      </c>
      <c r="G47" s="514"/>
      <c r="H47" s="514"/>
      <c r="I47" s="18" t="s">
        <v>89</v>
      </c>
      <c r="J47" s="345" t="b">
        <f t="shared" si="0"/>
        <v>1</v>
      </c>
    </row>
    <row r="48" spans="3:10" x14ac:dyDescent="0.25">
      <c r="C48" s="618" t="s">
        <v>18</v>
      </c>
      <c r="D48" s="449">
        <f>BS!J49</f>
        <v>0</v>
      </c>
      <c r="E48" s="449" t="str">
        <f>'Shared-2013'!D46</f>
        <v>-</v>
      </c>
      <c r="G48" s="514"/>
      <c r="H48" s="514"/>
      <c r="I48" s="18" t="s">
        <v>89</v>
      </c>
      <c r="J48" s="345" t="b">
        <f t="shared" si="0"/>
        <v>1</v>
      </c>
    </row>
    <row r="49" spans="3:10" x14ac:dyDescent="0.25">
      <c r="C49" s="342" t="s">
        <v>19</v>
      </c>
      <c r="D49" s="451">
        <f>SUM(D$7:D$12,D$13,D$28,D$29,D$32,D$33,D$41:D$48)</f>
        <v>0</v>
      </c>
      <c r="E49" s="451">
        <f>SUM('0. Alap'!D21)</f>
        <v>0</v>
      </c>
      <c r="G49" s="448">
        <f>SUM(G$7:G$12,G$13,G$28,G$29,G$32,G$33,G$41:G$48)</f>
        <v>0</v>
      </c>
      <c r="H49" s="448">
        <f>SUM(H$7:H$12,H$13,H$28,H$29,H$32,H$33,H$41:H$48)</f>
        <v>0</v>
      </c>
      <c r="I49" s="18" t="s">
        <v>89</v>
      </c>
      <c r="J49" s="346" t="b">
        <f t="shared" si="0"/>
        <v>1</v>
      </c>
    </row>
    <row r="50" spans="3:10" x14ac:dyDescent="0.25">
      <c r="C50" s="351"/>
      <c r="D50" s="55"/>
      <c r="E50" s="55"/>
      <c r="G50" s="55"/>
      <c r="H50" s="55"/>
      <c r="I50" s="18" t="s">
        <v>89</v>
      </c>
      <c r="J50" s="2"/>
    </row>
    <row r="51" spans="3:10" x14ac:dyDescent="0.25">
      <c r="C51" s="350" t="s">
        <v>128</v>
      </c>
      <c r="D51" s="56"/>
      <c r="E51" s="97"/>
      <c r="G51" s="354" t="s">
        <v>974</v>
      </c>
      <c r="H51" s="349"/>
      <c r="I51" s="18" t="s">
        <v>89</v>
      </c>
      <c r="J51" s="2"/>
    </row>
    <row r="52" spans="3:10" ht="22.5" customHeight="1" x14ac:dyDescent="0.25">
      <c r="C52" s="1101" t="s">
        <v>20</v>
      </c>
      <c r="D52" s="984" t="s">
        <v>847</v>
      </c>
      <c r="E52" s="984" t="s">
        <v>88</v>
      </c>
      <c r="G52" s="1109" t="s">
        <v>141</v>
      </c>
      <c r="H52" s="1107" t="s">
        <v>143</v>
      </c>
      <c r="I52" s="18" t="s">
        <v>89</v>
      </c>
      <c r="J52" s="1105" t="s">
        <v>142</v>
      </c>
    </row>
    <row r="53" spans="3:10" x14ac:dyDescent="0.25">
      <c r="C53" s="1102"/>
      <c r="D53" s="622">
        <v>41639</v>
      </c>
      <c r="E53" s="632"/>
      <c r="G53" s="1110"/>
      <c r="H53" s="1108"/>
      <c r="I53" s="18" t="s">
        <v>89</v>
      </c>
      <c r="J53" s="1106"/>
    </row>
    <row r="54" spans="3:10" x14ac:dyDescent="0.25">
      <c r="C54" s="624" t="s">
        <v>976</v>
      </c>
      <c r="D54" s="450">
        <f>BS!L34</f>
        <v>0</v>
      </c>
      <c r="E54" s="450">
        <f>SUM('0. Alap'!F12)</f>
        <v>0</v>
      </c>
      <c r="G54" s="89"/>
      <c r="H54" s="89"/>
      <c r="I54" s="18" t="s">
        <v>89</v>
      </c>
      <c r="J54" s="347" t="b">
        <f t="shared" ref="J54:J76" si="1">(SUM(G54:H54)+SUM(D54))=SUM(E54)</f>
        <v>1</v>
      </c>
    </row>
    <row r="55" spans="3:10" x14ac:dyDescent="0.25">
      <c r="C55" s="624" t="s">
        <v>977</v>
      </c>
      <c r="D55" s="450">
        <f>BS!L35</f>
        <v>0</v>
      </c>
      <c r="E55" s="450">
        <f>SUM('0. Alap'!F13)</f>
        <v>0</v>
      </c>
      <c r="G55" s="89"/>
      <c r="H55" s="89"/>
      <c r="I55" s="18" t="s">
        <v>89</v>
      </c>
      <c r="J55" s="345" t="b">
        <f t="shared" si="1"/>
        <v>1</v>
      </c>
    </row>
    <row r="56" spans="3:10" x14ac:dyDescent="0.25">
      <c r="C56" s="624" t="s">
        <v>978</v>
      </c>
      <c r="D56" s="450">
        <f>BS!L37</f>
        <v>0</v>
      </c>
      <c r="E56" s="450">
        <f>SUM('0. Alap'!F14)</f>
        <v>0</v>
      </c>
      <c r="G56" s="89"/>
      <c r="H56" s="89"/>
      <c r="I56" s="18" t="s">
        <v>89</v>
      </c>
      <c r="J56" s="345" t="b">
        <f t="shared" si="1"/>
        <v>1</v>
      </c>
    </row>
    <row r="57" spans="3:10" ht="15" customHeight="1" x14ac:dyDescent="0.25">
      <c r="C57" s="633" t="s">
        <v>979</v>
      </c>
      <c r="D57" s="450">
        <f>BS!L38</f>
        <v>0</v>
      </c>
      <c r="E57" s="450">
        <f>SUM('0. Alap'!F15)</f>
        <v>0</v>
      </c>
      <c r="G57" s="89"/>
      <c r="H57" s="89"/>
      <c r="I57" s="18" t="s">
        <v>89</v>
      </c>
      <c r="J57" s="345" t="b">
        <f t="shared" si="1"/>
        <v>1</v>
      </c>
    </row>
    <row r="58" spans="3:10" x14ac:dyDescent="0.25">
      <c r="C58" s="633" t="s">
        <v>980</v>
      </c>
      <c r="D58" s="450">
        <f>BS!L39</f>
        <v>0</v>
      </c>
      <c r="E58" s="450">
        <f>SUM('0. Alap'!F16)</f>
        <v>0</v>
      </c>
      <c r="G58" s="89"/>
      <c r="H58" s="89"/>
      <c r="I58" s="18" t="s">
        <v>89</v>
      </c>
      <c r="J58" s="345" t="b">
        <f t="shared" si="1"/>
        <v>1</v>
      </c>
    </row>
    <row r="59" spans="3:10" x14ac:dyDescent="0.25">
      <c r="C59" s="624" t="s">
        <v>975</v>
      </c>
      <c r="D59" s="450">
        <f>BS!L40</f>
        <v>0</v>
      </c>
      <c r="E59" s="450">
        <f>SUM('0. Alap'!F17)</f>
        <v>0</v>
      </c>
      <c r="G59" s="89"/>
      <c r="H59" s="89"/>
      <c r="I59" s="18" t="s">
        <v>89</v>
      </c>
      <c r="J59" s="345" t="b">
        <f t="shared" si="1"/>
        <v>1</v>
      </c>
    </row>
    <row r="60" spans="3:10" x14ac:dyDescent="0.25">
      <c r="C60" s="624" t="s">
        <v>21</v>
      </c>
      <c r="D60" s="450">
        <f>BS!L41</f>
        <v>0</v>
      </c>
      <c r="E60" s="450" t="str">
        <f>'Shared-2013'!F31</f>
        <v>-</v>
      </c>
      <c r="G60" s="528"/>
      <c r="H60" s="528"/>
      <c r="I60" s="18" t="s">
        <v>89</v>
      </c>
      <c r="J60" s="345" t="b">
        <f t="shared" si="1"/>
        <v>1</v>
      </c>
    </row>
    <row r="61" spans="3:10" x14ac:dyDescent="0.25">
      <c r="C61" s="614" t="s">
        <v>70</v>
      </c>
      <c r="D61" s="449">
        <f>BS!L28</f>
        <v>0</v>
      </c>
      <c r="E61" s="449" t="str">
        <f>'Shared-2013'!F32</f>
        <v>-</v>
      </c>
      <c r="G61" s="514"/>
      <c r="H61" s="514"/>
      <c r="I61" s="18" t="s">
        <v>89</v>
      </c>
      <c r="J61" s="345" t="b">
        <f t="shared" si="1"/>
        <v>1</v>
      </c>
    </row>
    <row r="62" spans="3:10" x14ac:dyDescent="0.25">
      <c r="C62" s="614" t="s">
        <v>22</v>
      </c>
      <c r="D62" s="449">
        <f>BS!L42</f>
        <v>0</v>
      </c>
      <c r="E62" s="449" t="str">
        <f>'Shared-2013'!F33</f>
        <v>-</v>
      </c>
      <c r="G62" s="514"/>
      <c r="H62" s="514"/>
      <c r="I62" s="18" t="s">
        <v>89</v>
      </c>
      <c r="J62" s="345" t="b">
        <f t="shared" si="1"/>
        <v>1</v>
      </c>
    </row>
    <row r="63" spans="3:10" x14ac:dyDescent="0.25">
      <c r="C63" s="614" t="s">
        <v>23</v>
      </c>
      <c r="D63" s="449">
        <f>BS!L30</f>
        <v>0</v>
      </c>
      <c r="E63" s="449" t="str">
        <f>'Shared-2013'!F34</f>
        <v>-</v>
      </c>
      <c r="G63" s="514"/>
      <c r="H63" s="514"/>
      <c r="I63" s="18" t="s">
        <v>89</v>
      </c>
      <c r="J63" s="345" t="b">
        <f t="shared" si="1"/>
        <v>1</v>
      </c>
    </row>
    <row r="64" spans="3:10" x14ac:dyDescent="0.25">
      <c r="C64" s="614" t="s">
        <v>24</v>
      </c>
      <c r="D64" s="449">
        <f>BS!L45</f>
        <v>0</v>
      </c>
      <c r="E64" s="449" t="str">
        <f>'Shared-2013'!F35</f>
        <v>-</v>
      </c>
      <c r="G64" s="514"/>
      <c r="H64" s="514"/>
      <c r="I64" s="18" t="s">
        <v>89</v>
      </c>
      <c r="J64" s="345" t="b">
        <f t="shared" si="1"/>
        <v>1</v>
      </c>
    </row>
    <row r="65" spans="3:10" x14ac:dyDescent="0.25">
      <c r="C65" s="614" t="s">
        <v>25</v>
      </c>
      <c r="D65" s="449">
        <f>BS!L29</f>
        <v>0</v>
      </c>
      <c r="E65" s="449" t="str">
        <f>'0. Alap'!F19</f>
        <v>-</v>
      </c>
      <c r="G65" s="514"/>
      <c r="H65" s="514"/>
      <c r="I65" s="18" t="s">
        <v>89</v>
      </c>
      <c r="J65" s="345" t="b">
        <f t="shared" si="1"/>
        <v>1</v>
      </c>
    </row>
    <row r="66" spans="3:10" x14ac:dyDescent="0.25">
      <c r="C66" s="614" t="s">
        <v>26</v>
      </c>
      <c r="D66" s="449">
        <f>BS!L31</f>
        <v>0</v>
      </c>
      <c r="E66" s="449" t="str">
        <f>'Shared-2013'!F37</f>
        <v>-</v>
      </c>
      <c r="G66" s="514"/>
      <c r="H66" s="514"/>
      <c r="I66" s="18" t="s">
        <v>89</v>
      </c>
      <c r="J66" s="345" t="b">
        <f t="shared" si="1"/>
        <v>1</v>
      </c>
    </row>
    <row r="67" spans="3:10" x14ac:dyDescent="0.25">
      <c r="C67" s="614" t="s">
        <v>27</v>
      </c>
      <c r="D67" s="449">
        <f>BS!L47</f>
        <v>0</v>
      </c>
      <c r="E67" s="449" t="str">
        <f>'Shared-2013'!F38</f>
        <v>-</v>
      </c>
      <c r="G67" s="514"/>
      <c r="H67" s="514"/>
      <c r="I67" s="18" t="s">
        <v>89</v>
      </c>
      <c r="J67" s="345" t="b">
        <f t="shared" si="1"/>
        <v>1</v>
      </c>
    </row>
    <row r="68" spans="3:10" ht="26.25" x14ac:dyDescent="0.25">
      <c r="C68" s="616" t="s">
        <v>28</v>
      </c>
      <c r="D68" s="449">
        <f>BS!L48</f>
        <v>0</v>
      </c>
      <c r="E68" s="449" t="str">
        <f>'Shared-2013'!F39</f>
        <v>-</v>
      </c>
      <c r="G68" s="514"/>
      <c r="H68" s="514"/>
      <c r="I68" s="18" t="s">
        <v>89</v>
      </c>
      <c r="J68" s="345" t="b">
        <f t="shared" si="1"/>
        <v>1</v>
      </c>
    </row>
    <row r="69" spans="3:10" x14ac:dyDescent="0.25">
      <c r="C69" s="614" t="s">
        <v>29</v>
      </c>
      <c r="D69" s="449">
        <f>BS!L43</f>
        <v>0</v>
      </c>
      <c r="E69" s="449" t="str">
        <f>'Shared-2013'!F40</f>
        <v>-</v>
      </c>
      <c r="G69" s="514"/>
      <c r="H69" s="514"/>
      <c r="I69" s="18" t="s">
        <v>89</v>
      </c>
      <c r="J69" s="345" t="b">
        <f t="shared" si="1"/>
        <v>1</v>
      </c>
    </row>
    <row r="70" spans="3:10" x14ac:dyDescent="0.25">
      <c r="C70" s="614" t="s">
        <v>30</v>
      </c>
      <c r="D70" s="449">
        <f>BS!L44</f>
        <v>0</v>
      </c>
      <c r="E70" s="449" t="str">
        <f>'Shared-2013'!F41</f>
        <v>-</v>
      </c>
      <c r="G70" s="514"/>
      <c r="H70" s="514"/>
      <c r="I70" s="18" t="s">
        <v>89</v>
      </c>
      <c r="J70" s="345" t="b">
        <f t="shared" si="1"/>
        <v>1</v>
      </c>
    </row>
    <row r="71" spans="3:10" x14ac:dyDescent="0.25">
      <c r="C71" s="614" t="s">
        <v>31</v>
      </c>
      <c r="D71" s="449">
        <f>BS!L46</f>
        <v>0</v>
      </c>
      <c r="E71" s="449" t="str">
        <f>'Shared-2013'!F42</f>
        <v>-</v>
      </c>
      <c r="G71" s="514"/>
      <c r="H71" s="514"/>
      <c r="I71" s="18" t="s">
        <v>89</v>
      </c>
      <c r="J71" s="345" t="b">
        <f t="shared" si="1"/>
        <v>1</v>
      </c>
    </row>
    <row r="72" spans="3:10" x14ac:dyDescent="0.25">
      <c r="C72" s="614" t="s">
        <v>129</v>
      </c>
      <c r="D72" s="449">
        <f>SUM(BS!L23)</f>
        <v>0</v>
      </c>
      <c r="E72" s="449">
        <f>'Shared-2013'!F43</f>
        <v>0</v>
      </c>
      <c r="G72" s="444">
        <f>SUM(G$73:G$74)</f>
        <v>0</v>
      </c>
      <c r="H72" s="444">
        <f>SUM(H$73:H$74)</f>
        <v>0</v>
      </c>
      <c r="I72" s="18" t="s">
        <v>89</v>
      </c>
      <c r="J72" s="345" t="b">
        <f t="shared" si="1"/>
        <v>1</v>
      </c>
    </row>
    <row r="73" spans="3:10" x14ac:dyDescent="0.25">
      <c r="C73" s="628" t="s">
        <v>32</v>
      </c>
      <c r="D73" s="416"/>
      <c r="E73" s="449" t="str">
        <f>'Shared-2013'!F44</f>
        <v>-</v>
      </c>
      <c r="G73" s="514"/>
      <c r="H73" s="514"/>
      <c r="I73" s="18" t="s">
        <v>89</v>
      </c>
      <c r="J73" s="345" t="b">
        <f t="shared" si="1"/>
        <v>1</v>
      </c>
    </row>
    <row r="74" spans="3:10" x14ac:dyDescent="0.25">
      <c r="C74" s="628" t="s">
        <v>33</v>
      </c>
      <c r="D74" s="416"/>
      <c r="E74" s="449" t="str">
        <f>'Shared-2013'!F45</f>
        <v>-</v>
      </c>
      <c r="G74" s="514"/>
      <c r="H74" s="514"/>
      <c r="I74" s="18" t="s">
        <v>89</v>
      </c>
      <c r="J74" s="345" t="b">
        <f t="shared" si="1"/>
        <v>1</v>
      </c>
    </row>
    <row r="75" spans="3:10" x14ac:dyDescent="0.25">
      <c r="C75" s="614" t="s">
        <v>34</v>
      </c>
      <c r="D75" s="449">
        <f>BS!L49</f>
        <v>0</v>
      </c>
      <c r="E75" s="449" t="str">
        <f>'Shared-2013'!F46</f>
        <v>-</v>
      </c>
      <c r="G75" s="514"/>
      <c r="H75" s="514"/>
      <c r="I75" s="18" t="s">
        <v>89</v>
      </c>
      <c r="J75" s="345" t="b">
        <f t="shared" si="1"/>
        <v>1</v>
      </c>
    </row>
    <row r="76" spans="3:10" x14ac:dyDescent="0.25">
      <c r="C76" s="352" t="s">
        <v>35</v>
      </c>
      <c r="D76" s="451">
        <f>SUM(D$54,D$55,D$56,D$57,D$58,D$59,D$60:D$72,D$75)</f>
        <v>0</v>
      </c>
      <c r="E76" s="451">
        <f>SUM('0. Alap'!F11,'0. Alap'!F19,'0. Alap'!F20)</f>
        <v>0</v>
      </c>
      <c r="G76" s="448">
        <f>SUM(G$54,G$55,G$56,G$57,G$58,G$59,G$60:G$72,G$75)</f>
        <v>0</v>
      </c>
      <c r="H76" s="448">
        <f>SUM(H$54,H$55,H$56,H$57,H$58,H$59,H$60:H$72,H$75)</f>
        <v>0</v>
      </c>
      <c r="I76" s="18" t="s">
        <v>89</v>
      </c>
      <c r="J76" s="346" t="b">
        <f t="shared" si="1"/>
        <v>1</v>
      </c>
    </row>
    <row r="77" spans="3:10" x14ac:dyDescent="0.25">
      <c r="C77" s="353"/>
      <c r="D77" s="57"/>
      <c r="E77" s="57"/>
      <c r="G77" s="57"/>
      <c r="H77" s="57"/>
      <c r="I77" s="18" t="s">
        <v>89</v>
      </c>
      <c r="J77" s="3"/>
    </row>
    <row r="78" spans="3:10" x14ac:dyDescent="0.25">
      <c r="C78" s="634" t="s">
        <v>36</v>
      </c>
      <c r="D78" s="451">
        <f>D$49-D$76</f>
        <v>0</v>
      </c>
      <c r="E78" s="451">
        <f>E$49-E$76</f>
        <v>0</v>
      </c>
      <c r="G78" s="448">
        <f>G$49-G$76</f>
        <v>0</v>
      </c>
      <c r="H78" s="448">
        <f>H$49-H$76</f>
        <v>0</v>
      </c>
      <c r="I78" s="18" t="s">
        <v>89</v>
      </c>
      <c r="J78" s="348" t="b">
        <f>(SUM(G78:H78)+SUM(D78))=SUM(E78)</f>
        <v>1</v>
      </c>
    </row>
    <row r="79" spans="3:10" x14ac:dyDescent="0.25">
      <c r="I79" s="18" t="s">
        <v>89</v>
      </c>
    </row>
    <row r="80" spans="3:10" x14ac:dyDescent="0.25">
      <c r="C80" s="18" t="s">
        <v>89</v>
      </c>
      <c r="D80" s="18" t="s">
        <v>89</v>
      </c>
      <c r="E80" s="18" t="s">
        <v>89</v>
      </c>
      <c r="F80" s="18" t="s">
        <v>89</v>
      </c>
      <c r="G80" s="18" t="s">
        <v>89</v>
      </c>
      <c r="H80" s="18" t="s">
        <v>89</v>
      </c>
      <c r="I80" s="18" t="s">
        <v>89</v>
      </c>
    </row>
  </sheetData>
  <mergeCells count="8">
    <mergeCell ref="C5:C6"/>
    <mergeCell ref="H5:H6"/>
    <mergeCell ref="J5:J6"/>
    <mergeCell ref="C52:C53"/>
    <mergeCell ref="H52:H53"/>
    <mergeCell ref="J52:J53"/>
    <mergeCell ref="G52:G53"/>
    <mergeCell ref="G5:G6"/>
  </mergeCells>
  <pageMargins left="0.7" right="0.7" top="0.75" bottom="0.75" header="0.3" footer="0.3"/>
  <pageSetup paperSize="9" orientation="portrait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5" tint="0.39997558519241921"/>
  </sheetPr>
  <dimension ref="A1:AE454"/>
  <sheetViews>
    <sheetView topLeftCell="C4" workbookViewId="0">
      <selection activeCell="K47" sqref="K47"/>
    </sheetView>
  </sheetViews>
  <sheetFormatPr defaultRowHeight="15" outlineLevelCol="1" x14ac:dyDescent="0.25"/>
  <cols>
    <col min="1" max="1" width="9.140625" style="4" hidden="1" customWidth="1" outlineLevel="1"/>
    <col min="2" max="2" width="5" style="4" hidden="1" customWidth="1" outlineLevel="1"/>
    <col min="3" max="3" width="30.7109375" style="8" customWidth="1" collapsed="1"/>
    <col min="4" max="4" width="9.7109375" style="60" customWidth="1"/>
    <col min="5" max="5" width="1.5703125" style="59" customWidth="1"/>
    <col min="6" max="6" width="9.7109375" style="8" customWidth="1"/>
    <col min="7" max="12" width="9.7109375" style="4" customWidth="1"/>
    <col min="13" max="13" width="10.140625" style="4" customWidth="1"/>
    <col min="14" max="14" width="35.7109375" style="4" customWidth="1"/>
    <col min="15" max="15" width="1.85546875" style="4" bestFit="1" customWidth="1"/>
    <col min="16" max="16" width="14.85546875" style="4" hidden="1" customWidth="1" outlineLevel="1"/>
    <col min="17" max="17" width="26.28515625" style="4" hidden="1" customWidth="1" outlineLevel="1"/>
    <col min="18" max="24" width="9.140625" style="4" hidden="1" customWidth="1" outlineLevel="1"/>
    <col min="25" max="25" width="9.140625" style="4" hidden="1" customWidth="1" outlineLevel="1" collapsed="1"/>
    <col min="26" max="29" width="9.140625" style="4" hidden="1" customWidth="1" outlineLevel="1"/>
    <col min="30" max="30" width="9.140625" style="4" collapsed="1"/>
    <col min="31" max="244" width="9.140625" style="4"/>
    <col min="245" max="245" width="50.5703125" style="4" customWidth="1"/>
    <col min="246" max="246" width="24.140625" style="4" customWidth="1"/>
    <col min="247" max="247" width="27" style="4" customWidth="1"/>
    <col min="248" max="248" width="9.140625" style="4"/>
    <col min="249" max="249" width="16.7109375" style="4" customWidth="1"/>
    <col min="250" max="250" width="9.140625" style="4"/>
    <col min="251" max="251" width="26.85546875" style="4" customWidth="1"/>
    <col min="252" max="16384" width="9.140625" style="4"/>
  </cols>
  <sheetData>
    <row r="1" spans="3:17" ht="15.75" x14ac:dyDescent="0.25">
      <c r="C1" s="499" t="str">
        <f>Participant!$A$1</f>
        <v>&lt;Participant's name&gt;</v>
      </c>
      <c r="D1" s="494"/>
      <c r="E1" s="503"/>
      <c r="F1" s="503"/>
      <c r="G1" s="506"/>
      <c r="H1" s="506"/>
      <c r="I1" s="506"/>
      <c r="J1" s="506"/>
      <c r="K1" s="506"/>
      <c r="L1" s="506"/>
      <c r="M1" s="506"/>
      <c r="N1" s="485" t="str">
        <f>Participant!$E$1</f>
        <v>2013 - HUF (Thousands)</v>
      </c>
      <c r="O1" s="304" t="s">
        <v>89</v>
      </c>
    </row>
    <row r="2" spans="3:17" x14ac:dyDescent="0.25">
      <c r="C2" s="486" t="str">
        <f>Participant!$A$2</f>
        <v>-</v>
      </c>
      <c r="D2" s="507"/>
      <c r="E2" s="508"/>
      <c r="F2" s="487"/>
      <c r="G2" s="487"/>
      <c r="H2" s="487"/>
      <c r="I2" s="498" t="str">
        <f>P.Index!D17</f>
        <v>0. Alap hozamgörbe forgatókönyv (EIOPA alacsony hozamkörnyezet felmérés alapján)</v>
      </c>
      <c r="J2" s="487"/>
      <c r="K2" s="487"/>
      <c r="L2" s="487"/>
      <c r="M2" s="487"/>
      <c r="N2" s="492" t="str">
        <f>Version</f>
        <v>2013 12 31</v>
      </c>
      <c r="O2" s="304" t="s">
        <v>89</v>
      </c>
    </row>
    <row r="3" spans="3:17" ht="7.5" customHeight="1" x14ac:dyDescent="0.25">
      <c r="D3" s="300"/>
      <c r="E3" s="4"/>
      <c r="O3" s="304" t="s">
        <v>89</v>
      </c>
    </row>
    <row r="4" spans="3:17" x14ac:dyDescent="0.25">
      <c r="C4" s="1043" t="s">
        <v>741</v>
      </c>
      <c r="D4" s="1111" t="s">
        <v>1141</v>
      </c>
      <c r="E4" s="4"/>
      <c r="F4" s="379" t="s">
        <v>683</v>
      </c>
      <c r="G4" s="380"/>
      <c r="H4" s="381"/>
      <c r="J4" s="248" t="s">
        <v>684</v>
      </c>
      <c r="K4" s="249" t="str">
        <f>HYPERLINK("#'P.index'!H18","&gt;&gt; index sheet")</f>
        <v>&gt;&gt; index sheet</v>
      </c>
      <c r="L4" s="250"/>
      <c r="M4" s="249" t="str">
        <f>HYPERLINK("#'Overview'!D7","&gt;&gt; Overview sheet")</f>
        <v>&gt;&gt; Overview sheet</v>
      </c>
      <c r="N4" s="162"/>
      <c r="O4" s="304" t="s">
        <v>89</v>
      </c>
    </row>
    <row r="5" spans="3:17" x14ac:dyDescent="0.25">
      <c r="C5" s="1045"/>
      <c r="D5" s="1112"/>
      <c r="E5" s="4"/>
      <c r="F5" s="897" t="s">
        <v>647</v>
      </c>
      <c r="G5" s="516"/>
      <c r="H5" s="517"/>
      <c r="J5" s="251" t="str">
        <f>HYPERLINK("#'Shared-2013'!C6:I47","&gt;&gt; details of the balance sheet shared across scenarios")</f>
        <v>&gt;&gt; details of the balance sheet shared across scenarios</v>
      </c>
      <c r="K5" s="252"/>
      <c r="L5" s="252"/>
      <c r="M5" s="252"/>
      <c r="N5" s="163"/>
      <c r="O5" s="304" t="s">
        <v>89</v>
      </c>
      <c r="Q5" s="452">
        <f>MATCH(D6,Q6:Q8,0)</f>
        <v>1</v>
      </c>
    </row>
    <row r="6" spans="3:17" x14ac:dyDescent="0.25">
      <c r="C6" s="690" t="s">
        <v>685</v>
      </c>
      <c r="D6" s="518" t="s">
        <v>538</v>
      </c>
      <c r="E6" s="4"/>
      <c r="F6" s="898" t="s">
        <v>646</v>
      </c>
      <c r="G6" s="454"/>
      <c r="H6" s="455"/>
      <c r="J6" s="251" t="str">
        <f>HYPERLINK("#'Shared-2013'!C55:I75","&gt;&gt; details of the own funds shared across scenarios")</f>
        <v>&gt;&gt; details of the own funds shared across scenarios</v>
      </c>
      <c r="K6" s="252"/>
      <c r="L6" s="252"/>
      <c r="M6" s="252"/>
      <c r="N6" s="163"/>
      <c r="O6" s="304" t="s">
        <v>89</v>
      </c>
      <c r="Q6" s="156" t="s">
        <v>538</v>
      </c>
    </row>
    <row r="7" spans="3:17" x14ac:dyDescent="0.25">
      <c r="D7" s="300"/>
      <c r="E7" s="4"/>
      <c r="F7" s="889" t="s">
        <v>539</v>
      </c>
      <c r="G7" s="890"/>
      <c r="H7" s="891"/>
      <c r="J7" s="253" t="str">
        <f>HYPERLINK("#'Shared-2013'!C79","&gt;&gt; details of the capital requirements shared across scenarios")</f>
        <v>&gt;&gt; details of the capital requirements shared across scenarios</v>
      </c>
      <c r="K7" s="254"/>
      <c r="L7" s="254"/>
      <c r="M7" s="254"/>
      <c r="N7" s="164"/>
      <c r="O7" s="304" t="s">
        <v>89</v>
      </c>
      <c r="Q7" s="156" t="s">
        <v>140</v>
      </c>
    </row>
    <row r="8" spans="3:17" ht="8.25" customHeight="1" x14ac:dyDescent="0.25">
      <c r="D8" s="300"/>
      <c r="E8" s="4"/>
      <c r="O8" s="304" t="s">
        <v>89</v>
      </c>
      <c r="Q8" s="156" t="s">
        <v>540</v>
      </c>
    </row>
    <row r="9" spans="3:17" ht="15.75" x14ac:dyDescent="0.25">
      <c r="C9" s="635" t="s">
        <v>657</v>
      </c>
      <c r="D9" s="691"/>
      <c r="E9" s="157" t="s">
        <v>89</v>
      </c>
      <c r="F9" s="635" t="s">
        <v>661</v>
      </c>
      <c r="G9" s="692"/>
      <c r="H9" s="692"/>
      <c r="I9" s="691"/>
      <c r="M9" s="1130" t="s">
        <v>1055</v>
      </c>
      <c r="N9" s="1055"/>
      <c r="O9" s="304" t="s">
        <v>89</v>
      </c>
    </row>
    <row r="10" spans="3:17" x14ac:dyDescent="0.25">
      <c r="C10" s="693" t="s">
        <v>77</v>
      </c>
      <c r="D10" s="997">
        <f>SUM('Shared-2013'!D50)</f>
        <v>0</v>
      </c>
      <c r="E10" s="155" t="s">
        <v>89</v>
      </c>
      <c r="F10" s="694" t="s">
        <v>514</v>
      </c>
      <c r="G10" s="695" t="s">
        <v>641</v>
      </c>
      <c r="H10" s="695" t="s">
        <v>640</v>
      </c>
      <c r="I10" s="695" t="s">
        <v>639</v>
      </c>
      <c r="J10" s="1133" t="s">
        <v>531</v>
      </c>
      <c r="K10" s="1134"/>
      <c r="L10" s="203"/>
      <c r="M10" s="1131"/>
      <c r="N10" s="1132"/>
      <c r="O10" s="304" t="s">
        <v>89</v>
      </c>
    </row>
    <row r="11" spans="3:17" x14ac:dyDescent="0.25">
      <c r="C11" s="651" t="s">
        <v>681</v>
      </c>
      <c r="D11" s="450">
        <f>SUM(D12:D17)</f>
        <v>0</v>
      </c>
      <c r="E11" s="155" t="s">
        <v>89</v>
      </c>
      <c r="F11" s="450">
        <f>SUM(F12:F17)</f>
        <v>0</v>
      </c>
      <c r="G11" s="442">
        <f>SUM(G12:G17)</f>
        <v>0</v>
      </c>
      <c r="H11" s="450">
        <f>SUM(H12:H17)</f>
        <v>0</v>
      </c>
      <c r="I11" s="442">
        <f>SUM(I12:I17)</f>
        <v>0</v>
      </c>
      <c r="J11" s="1135"/>
      <c r="K11" s="1136"/>
      <c r="L11" s="203"/>
      <c r="M11" s="1059"/>
      <c r="N11" s="1057"/>
      <c r="O11" s="304" t="s">
        <v>89</v>
      </c>
    </row>
    <row r="12" spans="3:17" x14ac:dyDescent="0.25">
      <c r="C12" s="696" t="s">
        <v>117</v>
      </c>
      <c r="D12" s="514" t="s">
        <v>521</v>
      </c>
      <c r="E12" s="155" t="s">
        <v>89</v>
      </c>
      <c r="F12" s="990">
        <f t="shared" ref="F12:F17" si="0">SUM(G12:I12)</f>
        <v>0</v>
      </c>
      <c r="G12" s="514" t="s">
        <v>521</v>
      </c>
      <c r="H12" s="514" t="s">
        <v>521</v>
      </c>
      <c r="I12" s="524" t="s">
        <v>521</v>
      </c>
      <c r="J12" s="697" t="s">
        <v>662</v>
      </c>
      <c r="K12" s="698"/>
      <c r="M12" s="869">
        <f>SUM(H11:I11)-SUM(I17)</f>
        <v>0</v>
      </c>
      <c r="N12" s="694" t="s">
        <v>514</v>
      </c>
      <c r="O12" s="304" t="s">
        <v>89</v>
      </c>
      <c r="Q12" s="699" t="s">
        <v>532</v>
      </c>
    </row>
    <row r="13" spans="3:17" x14ac:dyDescent="0.25">
      <c r="C13" s="696" t="s">
        <v>118</v>
      </c>
      <c r="D13" s="514" t="s">
        <v>521</v>
      </c>
      <c r="E13" s="155" t="s">
        <v>89</v>
      </c>
      <c r="F13" s="990">
        <f t="shared" si="0"/>
        <v>0</v>
      </c>
      <c r="G13" s="514" t="s">
        <v>521</v>
      </c>
      <c r="H13" s="514" t="s">
        <v>521</v>
      </c>
      <c r="I13" s="514" t="s">
        <v>521</v>
      </c>
      <c r="J13" s="697" t="s">
        <v>663</v>
      </c>
      <c r="K13" s="698"/>
      <c r="M13" s="868" t="s">
        <v>521</v>
      </c>
      <c r="N13" s="699" t="s">
        <v>532</v>
      </c>
      <c r="O13" s="304" t="s">
        <v>89</v>
      </c>
      <c r="Q13" s="699" t="s">
        <v>875</v>
      </c>
    </row>
    <row r="14" spans="3:17" x14ac:dyDescent="0.25">
      <c r="C14" s="696" t="s">
        <v>126</v>
      </c>
      <c r="D14" s="514" t="s">
        <v>521</v>
      </c>
      <c r="E14" s="155" t="s">
        <v>89</v>
      </c>
      <c r="F14" s="990">
        <f t="shared" si="0"/>
        <v>0</v>
      </c>
      <c r="G14" s="514" t="s">
        <v>521</v>
      </c>
      <c r="H14" s="514" t="s">
        <v>521</v>
      </c>
      <c r="I14" s="514" t="s">
        <v>521</v>
      </c>
      <c r="J14" s="697" t="s">
        <v>664</v>
      </c>
      <c r="K14" s="698"/>
      <c r="M14" s="868" t="s">
        <v>521</v>
      </c>
      <c r="N14" s="699" t="s">
        <v>1146</v>
      </c>
      <c r="O14" s="304" t="s">
        <v>89</v>
      </c>
      <c r="Q14" s="699" t="s">
        <v>534</v>
      </c>
    </row>
    <row r="15" spans="3:17" x14ac:dyDescent="0.25">
      <c r="C15" s="696" t="s">
        <v>636</v>
      </c>
      <c r="D15" s="514" t="s">
        <v>521</v>
      </c>
      <c r="E15" s="155" t="s">
        <v>89</v>
      </c>
      <c r="F15" s="990">
        <f t="shared" si="0"/>
        <v>0</v>
      </c>
      <c r="G15" s="514" t="s">
        <v>521</v>
      </c>
      <c r="H15" s="514" t="s">
        <v>521</v>
      </c>
      <c r="I15" s="514" t="s">
        <v>521</v>
      </c>
      <c r="J15" s="697" t="s">
        <v>636</v>
      </c>
      <c r="K15" s="700"/>
      <c r="M15" s="868" t="s">
        <v>521</v>
      </c>
      <c r="N15" s="699" t="s">
        <v>1147</v>
      </c>
      <c r="O15" s="304" t="s">
        <v>89</v>
      </c>
      <c r="Q15" s="699" t="s">
        <v>60</v>
      </c>
    </row>
    <row r="16" spans="3:17" x14ac:dyDescent="0.25">
      <c r="C16" s="696" t="s">
        <v>637</v>
      </c>
      <c r="D16" s="514" t="s">
        <v>521</v>
      </c>
      <c r="E16" s="155" t="s">
        <v>89</v>
      </c>
      <c r="F16" s="990">
        <f t="shared" si="0"/>
        <v>0</v>
      </c>
      <c r="G16" s="514" t="s">
        <v>521</v>
      </c>
      <c r="H16" s="514" t="s">
        <v>521</v>
      </c>
      <c r="I16" s="514" t="s">
        <v>521</v>
      </c>
      <c r="J16" s="697" t="s">
        <v>665</v>
      </c>
      <c r="K16" s="698"/>
      <c r="M16" s="868" t="s">
        <v>521</v>
      </c>
      <c r="N16" s="699" t="s">
        <v>1165</v>
      </c>
      <c r="O16" s="304" t="s">
        <v>89</v>
      </c>
      <c r="Q16" s="699"/>
    </row>
    <row r="17" spans="1:31" x14ac:dyDescent="0.25">
      <c r="C17" s="696" t="s">
        <v>638</v>
      </c>
      <c r="D17" s="519" t="s">
        <v>521</v>
      </c>
      <c r="E17" s="155" t="s">
        <v>89</v>
      </c>
      <c r="F17" s="991">
        <f t="shared" si="0"/>
        <v>0</v>
      </c>
      <c r="G17" s="519" t="s">
        <v>521</v>
      </c>
      <c r="H17" s="519" t="s">
        <v>521</v>
      </c>
      <c r="I17" s="519" t="s">
        <v>521</v>
      </c>
      <c r="J17" s="701" t="s">
        <v>666</v>
      </c>
      <c r="K17" s="702"/>
      <c r="M17" s="870">
        <f>SUM(M12)-SUM(M13:M16)</f>
        <v>0</v>
      </c>
      <c r="N17" s="703" t="s">
        <v>537</v>
      </c>
      <c r="O17" s="304" t="s">
        <v>89</v>
      </c>
      <c r="AE17" s="986"/>
    </row>
    <row r="18" spans="1:31" x14ac:dyDescent="0.25">
      <c r="C18" s="654" t="s">
        <v>635</v>
      </c>
      <c r="D18" s="998">
        <f>SUM('Shared-2013'!D26)</f>
        <v>0</v>
      </c>
      <c r="E18" s="155" t="s">
        <v>89</v>
      </c>
      <c r="F18" s="418"/>
      <c r="G18" s="419"/>
      <c r="H18" s="419"/>
      <c r="I18" s="419"/>
      <c r="J18" s="420"/>
      <c r="K18" s="421"/>
      <c r="O18" s="304" t="s">
        <v>89</v>
      </c>
    </row>
    <row r="19" spans="1:31" x14ac:dyDescent="0.25">
      <c r="C19" s="651" t="s">
        <v>5</v>
      </c>
      <c r="D19" s="528" t="s">
        <v>521</v>
      </c>
      <c r="E19" s="155" t="s">
        <v>89</v>
      </c>
      <c r="F19" s="528" t="s">
        <v>521</v>
      </c>
      <c r="G19" s="422"/>
      <c r="H19" s="422"/>
      <c r="I19" s="422"/>
      <c r="J19" s="704" t="s">
        <v>25</v>
      </c>
      <c r="K19" s="705"/>
      <c r="M19" s="992">
        <f>MAX(SUM(D19)-SUM(F19),0)</f>
        <v>0</v>
      </c>
      <c r="N19" s="706" t="s">
        <v>668</v>
      </c>
      <c r="O19" s="304" t="s">
        <v>89</v>
      </c>
    </row>
    <row r="20" spans="1:31" x14ac:dyDescent="0.25">
      <c r="C20" s="693" t="s">
        <v>82</v>
      </c>
      <c r="D20" s="997">
        <f>SUM('Shared-2013'!D52)</f>
        <v>0</v>
      </c>
      <c r="E20" s="155" t="s">
        <v>89</v>
      </c>
      <c r="F20" s="999">
        <f>SUM('Shared-2013'!F52)</f>
        <v>0</v>
      </c>
      <c r="G20" s="423"/>
      <c r="H20" s="423"/>
      <c r="I20" s="423"/>
      <c r="J20" s="592" t="s">
        <v>542</v>
      </c>
      <c r="K20" s="707"/>
      <c r="M20" s="992">
        <f>MAX(SUM(F24)-SUM(D24),0)</f>
        <v>0</v>
      </c>
      <c r="N20" s="706" t="s">
        <v>686</v>
      </c>
      <c r="O20" s="304" t="s">
        <v>89</v>
      </c>
    </row>
    <row r="21" spans="1:31" x14ac:dyDescent="0.25">
      <c r="C21" s="158" t="s">
        <v>541</v>
      </c>
      <c r="D21" s="451">
        <f>SUM(D10,D11,D18,D19,D20)</f>
        <v>0</v>
      </c>
      <c r="E21" s="161" t="s">
        <v>89</v>
      </c>
      <c r="F21" s="892">
        <f>SUM(D21)-SUM(F11,F19,F20)</f>
        <v>0</v>
      </c>
      <c r="G21" s="159" t="s">
        <v>36</v>
      </c>
      <c r="H21" s="159"/>
      <c r="I21" s="158"/>
      <c r="J21" s="159"/>
      <c r="K21" s="160"/>
      <c r="M21" s="1000" t="str">
        <f>IF(SUM(M20),SUM(D78)/SUM(M20),"-")</f>
        <v>-</v>
      </c>
      <c r="N21" s="706" t="s">
        <v>687</v>
      </c>
      <c r="O21" s="304" t="s">
        <v>89</v>
      </c>
    </row>
    <row r="22" spans="1:31" ht="7.5" customHeight="1" x14ac:dyDescent="0.25">
      <c r="D22" s="300"/>
      <c r="E22" s="4"/>
      <c r="O22" s="304" t="s">
        <v>89</v>
      </c>
    </row>
    <row r="23" spans="1:31" x14ac:dyDescent="0.25">
      <c r="C23" s="708" t="s">
        <v>679</v>
      </c>
      <c r="D23" s="709"/>
      <c r="E23" s="709"/>
      <c r="F23" s="709"/>
      <c r="G23" s="709"/>
      <c r="H23" s="709"/>
      <c r="I23" s="709"/>
      <c r="J23" s="710"/>
      <c r="O23" s="304" t="s">
        <v>89</v>
      </c>
    </row>
    <row r="24" spans="1:31" x14ac:dyDescent="0.25">
      <c r="C24" s="713" t="s">
        <v>682</v>
      </c>
      <c r="D24" s="528" t="s">
        <v>521</v>
      </c>
      <c r="E24" s="206" t="s">
        <v>89</v>
      </c>
      <c r="F24" s="528" t="s">
        <v>521</v>
      </c>
      <c r="G24" s="714" t="s">
        <v>680</v>
      </c>
      <c r="H24" s="715"/>
      <c r="I24" s="715"/>
      <c r="J24" s="716"/>
      <c r="O24" s="304" t="s">
        <v>89</v>
      </c>
    </row>
    <row r="25" spans="1:31" x14ac:dyDescent="0.25">
      <c r="C25" s="719" t="s">
        <v>676</v>
      </c>
      <c r="D25" s="518" t="s">
        <v>521</v>
      </c>
      <c r="E25" s="206" t="s">
        <v>89</v>
      </c>
      <c r="F25" s="518" t="s">
        <v>521</v>
      </c>
      <c r="G25" s="714" t="s">
        <v>677</v>
      </c>
      <c r="H25" s="715"/>
      <c r="I25" s="715"/>
      <c r="J25" s="716"/>
      <c r="O25" s="304" t="s">
        <v>89</v>
      </c>
    </row>
    <row r="26" spans="1:31" ht="7.5" customHeight="1" x14ac:dyDescent="0.25">
      <c r="D26" s="300"/>
      <c r="E26" s="4"/>
      <c r="O26" s="304" t="s">
        <v>89</v>
      </c>
    </row>
    <row r="27" spans="1:31" ht="15.75" thickBot="1" x14ac:dyDescent="0.3">
      <c r="C27" s="158" t="s">
        <v>543</v>
      </c>
      <c r="D27" s="694" t="s">
        <v>606</v>
      </c>
      <c r="E27" s="157" t="s">
        <v>89</v>
      </c>
      <c r="F27" s="694" t="s">
        <v>607</v>
      </c>
      <c r="G27" s="694" t="s">
        <v>674</v>
      </c>
      <c r="I27" s="722" t="s">
        <v>85</v>
      </c>
      <c r="J27" s="722" t="s">
        <v>71</v>
      </c>
      <c r="K27" s="166" t="s">
        <v>673</v>
      </c>
      <c r="L27" s="166"/>
      <c r="M27" s="166"/>
      <c r="N27" s="166"/>
      <c r="O27" s="304" t="s">
        <v>89</v>
      </c>
    </row>
    <row r="28" spans="1:31" x14ac:dyDescent="0.25">
      <c r="C28" s="672" t="s">
        <v>609</v>
      </c>
      <c r="D28" s="450">
        <f>SUM(D29:D31)</f>
        <v>0</v>
      </c>
      <c r="E28" s="155" t="s">
        <v>89</v>
      </c>
      <c r="F28" s="893">
        <f>SUM(F29:F31)</f>
        <v>0</v>
      </c>
      <c r="G28" s="893">
        <f>SUM(G29:G31)</f>
        <v>0</v>
      </c>
      <c r="I28" s="894">
        <f>SUM(D263)</f>
        <v>0</v>
      </c>
      <c r="J28" s="894">
        <f>MAX(0,SUM(H77,H84,H85,D85,$D$77))</f>
        <v>0</v>
      </c>
      <c r="K28" s="723" t="s">
        <v>669</v>
      </c>
      <c r="L28" s="723"/>
      <c r="M28" s="723"/>
      <c r="N28" s="723"/>
      <c r="O28" s="304" t="s">
        <v>89</v>
      </c>
    </row>
    <row r="29" spans="1:31" x14ac:dyDescent="0.25">
      <c r="A29" s="134" t="s">
        <v>824</v>
      </c>
      <c r="B29" s="135" t="str">
        <f>HYPERLINK(_TS_&amp;"#"&amp;SUBSTITUTE(A29,".","_"),"Open")</f>
        <v>Open</v>
      </c>
      <c r="C29" s="939" t="s">
        <v>1084</v>
      </c>
      <c r="D29" s="449">
        <f>SUM(F73)</f>
        <v>0</v>
      </c>
      <c r="E29" s="155" t="s">
        <v>89</v>
      </c>
      <c r="F29" s="449">
        <f>$D29</f>
        <v>0</v>
      </c>
      <c r="G29" s="449">
        <f>$D29+SUM(N69)</f>
        <v>0</v>
      </c>
      <c r="I29" s="450">
        <f>IF(AND(F28&lt;&gt;"-",I28&lt;&gt;"-"),SUM(F28)-SUM(I28),"-")</f>
        <v>0</v>
      </c>
      <c r="J29" s="450">
        <f>IF(AND(F34&lt;&gt;"-",J28&lt;&gt;"-"),SUM(F34)-SUM(J28),"-")</f>
        <v>0</v>
      </c>
      <c r="K29" s="725" t="s">
        <v>605</v>
      </c>
      <c r="L29" s="725"/>
      <c r="M29" s="725"/>
      <c r="N29" s="725"/>
      <c r="O29" s="304" t="s">
        <v>89</v>
      </c>
    </row>
    <row r="30" spans="1:31" x14ac:dyDescent="0.25">
      <c r="A30" s="134" t="s">
        <v>824</v>
      </c>
      <c r="B30" s="135" t="str">
        <f>HYPERLINK(_TS_&amp;"#"&amp;SUBSTITUTE(A30,".","_"),"Open")</f>
        <v>Open</v>
      </c>
      <c r="C30" s="939" t="s">
        <v>1085</v>
      </c>
      <c r="D30" s="449">
        <f>SUM(G73)</f>
        <v>0</v>
      </c>
      <c r="E30" s="155" t="s">
        <v>89</v>
      </c>
      <c r="F30" s="449">
        <f>MAX(0,MIN(F29*0.25,$D30))</f>
        <v>0</v>
      </c>
      <c r="G30" s="449">
        <f>MAX(0,MIN(G29*0.25,$D30))</f>
        <v>0</v>
      </c>
      <c r="I30" s="243" t="str">
        <f>IF(AND(I29&lt;&gt;"-",SUM(I28)&gt;0),1+SUM(I29)/SUM(I28),"-")</f>
        <v>-</v>
      </c>
      <c r="J30" s="243" t="str">
        <f>IF(AND(J29&lt;&gt;"-",SUM(J28)&gt;0),1+SUM(J29)/SUM(J28),"-")</f>
        <v>-</v>
      </c>
      <c r="K30" s="726" t="s">
        <v>608</v>
      </c>
      <c r="L30" s="726"/>
      <c r="M30" s="726"/>
      <c r="N30" s="726"/>
      <c r="O30" s="304" t="s">
        <v>89</v>
      </c>
      <c r="Q30" s="293">
        <f>MATCH(I31,Q31:Q34,0)</f>
        <v>1</v>
      </c>
    </row>
    <row r="31" spans="1:31" x14ac:dyDescent="0.25">
      <c r="A31" s="134" t="s">
        <v>823</v>
      </c>
      <c r="B31" s="135" t="str">
        <f>HYPERLINK(_TS_&amp;"#"&amp;SUBSTITUTE(A31,".","_"),"Open")</f>
        <v>Open</v>
      </c>
      <c r="C31" s="940" t="s">
        <v>1119</v>
      </c>
      <c r="D31" s="457">
        <f>SUM(H73)</f>
        <v>0</v>
      </c>
      <c r="E31" s="155" t="s">
        <v>89</v>
      </c>
      <c r="F31" s="449">
        <f>MAX(0,MIN(0.2*SUM(I28),SUM($D30)-SUM(F30)+$D31))</f>
        <v>0</v>
      </c>
      <c r="G31" s="449">
        <f>MAX(0,MIN(0.2*SUM(I32),SUM($D30)-SUM(G30)+$D31))</f>
        <v>0</v>
      </c>
      <c r="I31" s="1137" t="s">
        <v>521</v>
      </c>
      <c r="J31" s="1138"/>
      <c r="K31" s="245" t="s">
        <v>688</v>
      </c>
      <c r="L31" s="246"/>
      <c r="M31" s="246"/>
      <c r="N31" s="247"/>
      <c r="O31" s="304" t="s">
        <v>89</v>
      </c>
      <c r="Q31" s="287" t="s">
        <v>521</v>
      </c>
    </row>
    <row r="32" spans="1:31" x14ac:dyDescent="0.25">
      <c r="A32" s="134" t="s">
        <v>825</v>
      </c>
      <c r="B32" s="135" t="str">
        <f>HYPERLINK(_TS_&amp;"#"&amp;SUBSTITUTE(A32,".","_"),"Open")</f>
        <v>Open</v>
      </c>
      <c r="C32" s="941" t="s">
        <v>1120</v>
      </c>
      <c r="D32" s="458">
        <f>SUM(J68,H73)</f>
        <v>0</v>
      </c>
      <c r="E32" s="155" t="s">
        <v>89</v>
      </c>
      <c r="F32" s="449">
        <f>MAX(0,MIN(0.5*SUM(J28),$D30-F30+$D32))</f>
        <v>0</v>
      </c>
      <c r="G32" s="449">
        <f>MAX(0,MIN(0.5*SUM(J32),$D30-G30+$D32))</f>
        <v>0</v>
      </c>
      <c r="I32" s="895" t="str">
        <f>IF(J32&lt;&gt;"-",D264,"-")</f>
        <v>-</v>
      </c>
      <c r="J32" s="895" t="str">
        <f>IF(AND(I31&lt;&gt;"-",I31&lt;&gt;"none"),G309,"-")</f>
        <v>-</v>
      </c>
      <c r="K32" s="723" t="s">
        <v>670</v>
      </c>
      <c r="L32" s="723"/>
      <c r="M32" s="723"/>
      <c r="N32" s="723"/>
      <c r="O32" s="304" t="s">
        <v>89</v>
      </c>
      <c r="Q32" s="287" t="s">
        <v>537</v>
      </c>
    </row>
    <row r="33" spans="1:17" x14ac:dyDescent="0.25">
      <c r="A33" s="134" t="s">
        <v>822</v>
      </c>
      <c r="B33" s="135" t="str">
        <f>HYPERLINK(_TS_&amp;"#"&amp;SUBSTITUTE(A33,".","_"),"Open")</f>
        <v>Open</v>
      </c>
      <c r="C33" s="939" t="s">
        <v>1121</v>
      </c>
      <c r="D33" s="449">
        <f>SUM(I73,K68)</f>
        <v>0</v>
      </c>
      <c r="E33" s="155" t="s">
        <v>89</v>
      </c>
      <c r="F33" s="449">
        <f>MAX(0,MIN(0.5*SUM(J28)-SUM(F32), 0.15*SUM(J28),SUM(D33)))</f>
        <v>0</v>
      </c>
      <c r="G33" s="449">
        <f>MAX(0,MIN(0.5*SUM(J32)-SUM(G32), 0.15*SUM(J32),SUM(E33)))</f>
        <v>0</v>
      </c>
      <c r="I33" s="450" t="str">
        <f>IF(AND(G28&lt;&gt;"-",I32&lt;&gt;"-"),SUM(G28)-SUM(I32),"-")</f>
        <v>-</v>
      </c>
      <c r="J33" s="450" t="str">
        <f>IF(AND(G34&lt;&gt;"-",J32&lt;&gt;"-"),SUM(G34)-SUM(J32),"-")</f>
        <v>-</v>
      </c>
      <c r="K33" s="725" t="s">
        <v>605</v>
      </c>
      <c r="L33" s="725"/>
      <c r="M33" s="725"/>
      <c r="N33" s="725"/>
      <c r="O33" s="304" t="s">
        <v>89</v>
      </c>
      <c r="Q33" s="287" t="s">
        <v>838</v>
      </c>
    </row>
    <row r="34" spans="1:17" x14ac:dyDescent="0.25">
      <c r="C34" s="729" t="s">
        <v>610</v>
      </c>
      <c r="D34" s="441">
        <f>SUM(D29,D30,D32,D33)</f>
        <v>0</v>
      </c>
      <c r="E34" s="161" t="s">
        <v>89</v>
      </c>
      <c r="F34" s="896">
        <f>SUM(F29,F30,F32,F33)</f>
        <v>0</v>
      </c>
      <c r="G34" s="896">
        <f>SUM(G29,G30,G32,G33)</f>
        <v>0</v>
      </c>
      <c r="I34" s="243" t="str">
        <f>IF(AND(I33&lt;&gt;"-",SUM(I32)&gt;0),1+SUM(I33)/SUM(I32),"-")</f>
        <v>-</v>
      </c>
      <c r="J34" s="243" t="str">
        <f>IF(AND(J33&lt;&gt;"-",SUM(J32)&gt;0),1+SUM(J33)/SUM(J32),"-")</f>
        <v>-</v>
      </c>
      <c r="K34" s="726" t="s">
        <v>608</v>
      </c>
      <c r="L34" s="726"/>
      <c r="M34" s="726"/>
      <c r="N34" s="726"/>
      <c r="O34" s="304" t="s">
        <v>89</v>
      </c>
      <c r="Q34" s="288" t="s">
        <v>839</v>
      </c>
    </row>
    <row r="35" spans="1:17" x14ac:dyDescent="0.25">
      <c r="C35" s="4"/>
      <c r="D35" s="4"/>
      <c r="E35" s="4"/>
      <c r="F35" s="4"/>
      <c r="O35" s="304" t="s">
        <v>89</v>
      </c>
    </row>
    <row r="36" spans="1:17" x14ac:dyDescent="0.25">
      <c r="C36" s="1043" t="s">
        <v>879</v>
      </c>
      <c r="D36" s="1111" t="str">
        <f>$D$4</f>
        <v>Alap</v>
      </c>
      <c r="E36" s="4"/>
      <c r="F36" s="4"/>
      <c r="O36" s="304" t="s">
        <v>89</v>
      </c>
    </row>
    <row r="37" spans="1:17" x14ac:dyDescent="0.25">
      <c r="C37" s="1045"/>
      <c r="D37" s="1112"/>
      <c r="E37" s="4"/>
      <c r="F37" s="4"/>
      <c r="O37" s="304" t="s">
        <v>89</v>
      </c>
    </row>
    <row r="38" spans="1:17" x14ac:dyDescent="0.25">
      <c r="C38" s="4"/>
      <c r="D38" s="4"/>
      <c r="E38" s="4"/>
      <c r="F38" s="4"/>
      <c r="O38" s="304" t="s">
        <v>89</v>
      </c>
    </row>
    <row r="39" spans="1:17" x14ac:dyDescent="0.25">
      <c r="C39" s="154" t="s">
        <v>888</v>
      </c>
      <c r="D39" s="4"/>
      <c r="E39" s="4"/>
      <c r="F39" s="4"/>
      <c r="O39" s="304" t="s">
        <v>89</v>
      </c>
    </row>
    <row r="40" spans="1:17" x14ac:dyDescent="0.25">
      <c r="C40" s="154" t="s">
        <v>889</v>
      </c>
      <c r="D40" s="4"/>
      <c r="E40" s="4"/>
      <c r="F40" s="4"/>
      <c r="O40" s="304" t="s">
        <v>89</v>
      </c>
    </row>
    <row r="41" spans="1:17" x14ac:dyDescent="0.25">
      <c r="C41" s="303" t="s">
        <v>1077</v>
      </c>
      <c r="D41" s="4"/>
      <c r="E41" s="4"/>
      <c r="F41" s="4"/>
      <c r="O41" s="304" t="s">
        <v>89</v>
      </c>
    </row>
    <row r="42" spans="1:17" x14ac:dyDescent="0.25">
      <c r="C42" s="4"/>
      <c r="D42" s="4"/>
      <c r="E42" s="4"/>
      <c r="F42" s="4"/>
      <c r="O42" s="304" t="s">
        <v>89</v>
      </c>
    </row>
    <row r="43" spans="1:17" ht="38.25" x14ac:dyDescent="0.25">
      <c r="C43" s="730"/>
      <c r="D43" s="731"/>
      <c r="E43" s="731"/>
      <c r="F43" s="731"/>
      <c r="G43" s="731"/>
      <c r="H43" s="731"/>
      <c r="I43" s="732" t="s">
        <v>884</v>
      </c>
      <c r="J43" s="733" t="s">
        <v>743</v>
      </c>
      <c r="K43" s="733" t="s">
        <v>773</v>
      </c>
      <c r="L43" s="733" t="s">
        <v>744</v>
      </c>
      <c r="M43" s="733" t="s">
        <v>1166</v>
      </c>
      <c r="N43" s="733" t="s">
        <v>880</v>
      </c>
      <c r="O43" s="304" t="s">
        <v>89</v>
      </c>
    </row>
    <row r="44" spans="1:17" x14ac:dyDescent="0.25">
      <c r="C44" s="901" t="s">
        <v>760</v>
      </c>
      <c r="D44" s="902"/>
      <c r="E44" s="902"/>
      <c r="F44" s="902"/>
      <c r="G44" s="902"/>
      <c r="H44" s="902"/>
      <c r="I44" s="903"/>
      <c r="J44" s="868" t="s">
        <v>521</v>
      </c>
      <c r="K44" s="871"/>
      <c r="L44" s="868" t="s">
        <v>521</v>
      </c>
      <c r="M44" s="872"/>
      <c r="N44" s="868" t="s">
        <v>521</v>
      </c>
      <c r="O44" s="304" t="s">
        <v>89</v>
      </c>
    </row>
    <row r="45" spans="1:17" x14ac:dyDescent="0.25">
      <c r="C45" s="901" t="s">
        <v>761</v>
      </c>
      <c r="D45" s="902"/>
      <c r="E45" s="902"/>
      <c r="F45" s="902"/>
      <c r="G45" s="902"/>
      <c r="H45" s="902"/>
      <c r="I45" s="903"/>
      <c r="J45" s="868" t="s">
        <v>521</v>
      </c>
      <c r="K45" s="873"/>
      <c r="L45" s="868" t="s">
        <v>521</v>
      </c>
      <c r="M45" s="874" t="s">
        <v>521</v>
      </c>
      <c r="N45" s="868" t="s">
        <v>521</v>
      </c>
      <c r="O45" s="304" t="s">
        <v>89</v>
      </c>
    </row>
    <row r="46" spans="1:17" x14ac:dyDescent="0.25">
      <c r="C46" s="901" t="s">
        <v>878</v>
      </c>
      <c r="D46" s="902"/>
      <c r="E46" s="902"/>
      <c r="F46" s="902"/>
      <c r="G46" s="902"/>
      <c r="H46" s="902"/>
      <c r="I46" s="903"/>
      <c r="J46" s="868" t="s">
        <v>521</v>
      </c>
      <c r="K46" s="873"/>
      <c r="L46" s="868" t="s">
        <v>521</v>
      </c>
      <c r="M46" s="875"/>
      <c r="N46" s="868" t="s">
        <v>521</v>
      </c>
      <c r="O46" s="304" t="s">
        <v>89</v>
      </c>
    </row>
    <row r="47" spans="1:17" x14ac:dyDescent="0.25">
      <c r="C47" s="901" t="s">
        <v>876</v>
      </c>
      <c r="D47" s="902"/>
      <c r="E47" s="902"/>
      <c r="F47" s="902"/>
      <c r="G47" s="902"/>
      <c r="H47" s="902"/>
      <c r="I47" s="903"/>
      <c r="J47" s="868" t="s">
        <v>521</v>
      </c>
      <c r="K47" s="868" t="s">
        <v>521</v>
      </c>
      <c r="L47" s="868" t="s">
        <v>521</v>
      </c>
      <c r="M47" s="875"/>
      <c r="N47" s="868" t="s">
        <v>521</v>
      </c>
      <c r="O47" s="304" t="s">
        <v>89</v>
      </c>
    </row>
    <row r="48" spans="1:17" x14ac:dyDescent="0.25">
      <c r="C48" s="901" t="s">
        <v>877</v>
      </c>
      <c r="D48" s="902"/>
      <c r="E48" s="902"/>
      <c r="F48" s="902"/>
      <c r="G48" s="902"/>
      <c r="H48" s="902"/>
      <c r="I48" s="903"/>
      <c r="J48" s="868" t="s">
        <v>521</v>
      </c>
      <c r="K48" s="868" t="s">
        <v>521</v>
      </c>
      <c r="L48" s="868" t="s">
        <v>521</v>
      </c>
      <c r="M48" s="875"/>
      <c r="N48" s="868" t="s">
        <v>521</v>
      </c>
      <c r="O48" s="304" t="s">
        <v>89</v>
      </c>
    </row>
    <row r="49" spans="3:15" x14ac:dyDescent="0.25">
      <c r="C49" s="901" t="s">
        <v>883</v>
      </c>
      <c r="D49" s="902"/>
      <c r="E49" s="902"/>
      <c r="F49" s="902"/>
      <c r="G49" s="902"/>
      <c r="H49" s="902"/>
      <c r="I49" s="903"/>
      <c r="J49" s="868" t="s">
        <v>521</v>
      </c>
      <c r="K49" s="868" t="s">
        <v>521</v>
      </c>
      <c r="L49" s="868" t="s">
        <v>521</v>
      </c>
      <c r="M49" s="875"/>
      <c r="N49" s="868" t="s">
        <v>521</v>
      </c>
      <c r="O49" s="304" t="s">
        <v>89</v>
      </c>
    </row>
    <row r="50" spans="3:15" x14ac:dyDescent="0.25">
      <c r="C50" s="901" t="s">
        <v>882</v>
      </c>
      <c r="D50" s="902"/>
      <c r="E50" s="902"/>
      <c r="F50" s="902"/>
      <c r="G50" s="902"/>
      <c r="H50" s="902"/>
      <c r="I50" s="903"/>
      <c r="J50" s="868" t="s">
        <v>521</v>
      </c>
      <c r="K50" s="868" t="s">
        <v>521</v>
      </c>
      <c r="L50" s="868" t="s">
        <v>521</v>
      </c>
      <c r="M50" s="875"/>
      <c r="N50" s="868" t="s">
        <v>521</v>
      </c>
      <c r="O50" s="304" t="s">
        <v>89</v>
      </c>
    </row>
    <row r="51" spans="3:15" x14ac:dyDescent="0.25">
      <c r="C51" s="901" t="s">
        <v>887</v>
      </c>
      <c r="D51" s="902"/>
      <c r="E51" s="902"/>
      <c r="F51" s="902"/>
      <c r="G51" s="902"/>
      <c r="H51" s="902"/>
      <c r="I51" s="903"/>
      <c r="J51" s="868" t="s">
        <v>521</v>
      </c>
      <c r="K51" s="868" t="s">
        <v>521</v>
      </c>
      <c r="L51" s="868" t="s">
        <v>521</v>
      </c>
      <c r="M51" s="875"/>
      <c r="N51" s="868" t="s">
        <v>521</v>
      </c>
      <c r="O51" s="304" t="s">
        <v>89</v>
      </c>
    </row>
    <row r="52" spans="3:15" x14ac:dyDescent="0.25">
      <c r="C52" s="901" t="s">
        <v>886</v>
      </c>
      <c r="D52" s="902"/>
      <c r="E52" s="902"/>
      <c r="F52" s="902"/>
      <c r="G52" s="902"/>
      <c r="H52" s="902"/>
      <c r="I52" s="903"/>
      <c r="J52" s="868" t="s">
        <v>521</v>
      </c>
      <c r="K52" s="868" t="s">
        <v>521</v>
      </c>
      <c r="L52" s="868" t="s">
        <v>521</v>
      </c>
      <c r="M52" s="875"/>
      <c r="N52" s="868" t="s">
        <v>521</v>
      </c>
      <c r="O52" s="304" t="s">
        <v>89</v>
      </c>
    </row>
    <row r="53" spans="3:15" x14ac:dyDescent="0.25">
      <c r="C53" s="901" t="s">
        <v>885</v>
      </c>
      <c r="D53" s="902"/>
      <c r="E53" s="902"/>
      <c r="F53" s="902"/>
      <c r="G53" s="902"/>
      <c r="H53" s="902"/>
      <c r="I53" s="903"/>
      <c r="J53" s="868" t="s">
        <v>521</v>
      </c>
      <c r="K53" s="868" t="s">
        <v>521</v>
      </c>
      <c r="L53" s="868" t="s">
        <v>521</v>
      </c>
      <c r="M53" s="875"/>
      <c r="N53" s="868" t="s">
        <v>521</v>
      </c>
      <c r="O53" s="304" t="s">
        <v>89</v>
      </c>
    </row>
    <row r="54" spans="3:15" x14ac:dyDescent="0.25">
      <c r="C54" s="904" t="s">
        <v>881</v>
      </c>
      <c r="D54" s="905"/>
      <c r="E54" s="905"/>
      <c r="F54" s="905"/>
      <c r="G54" s="905"/>
      <c r="H54" s="905"/>
      <c r="I54" s="906"/>
      <c r="J54" s="870" t="s">
        <v>521</v>
      </c>
      <c r="K54" s="870" t="s">
        <v>521</v>
      </c>
      <c r="L54" s="870" t="s">
        <v>521</v>
      </c>
      <c r="M54" s="876"/>
      <c r="N54" s="870" t="s">
        <v>521</v>
      </c>
      <c r="O54" s="304" t="s">
        <v>89</v>
      </c>
    </row>
    <row r="55" spans="3:15" x14ac:dyDescent="0.25">
      <c r="C55" s="4"/>
      <c r="D55" s="4"/>
      <c r="E55" s="4"/>
      <c r="F55" s="4"/>
      <c r="O55" s="304" t="s">
        <v>89</v>
      </c>
    </row>
    <row r="56" spans="3:15" x14ac:dyDescent="0.25">
      <c r="C56" s="4"/>
      <c r="D56" s="4"/>
      <c r="E56" s="4"/>
      <c r="F56" s="4"/>
      <c r="O56" s="304" t="s">
        <v>89</v>
      </c>
    </row>
    <row r="57" spans="3:15" x14ac:dyDescent="0.25">
      <c r="C57" s="4"/>
      <c r="D57" s="4"/>
      <c r="E57" s="4"/>
      <c r="F57" s="4"/>
      <c r="O57" s="304" t="s">
        <v>89</v>
      </c>
    </row>
    <row r="58" spans="3:15" x14ac:dyDescent="0.25">
      <c r="C58" s="4"/>
      <c r="D58" s="4"/>
      <c r="E58" s="4"/>
      <c r="F58" s="4"/>
      <c r="O58" s="304" t="s">
        <v>89</v>
      </c>
    </row>
    <row r="59" spans="3:15" x14ac:dyDescent="0.25">
      <c r="C59" s="4"/>
      <c r="D59" s="4"/>
      <c r="E59" s="4"/>
      <c r="F59" s="4"/>
      <c r="O59" s="304" t="s">
        <v>89</v>
      </c>
    </row>
    <row r="60" spans="3:15" x14ac:dyDescent="0.25">
      <c r="C60" s="4"/>
      <c r="D60" s="4"/>
      <c r="E60" s="4"/>
      <c r="F60" s="4"/>
      <c r="O60" s="304" t="s">
        <v>89</v>
      </c>
    </row>
    <row r="61" spans="3:15" x14ac:dyDescent="0.25">
      <c r="C61" s="4"/>
      <c r="D61" s="4"/>
      <c r="E61" s="4"/>
      <c r="F61" s="4"/>
      <c r="O61" s="304" t="s">
        <v>89</v>
      </c>
    </row>
    <row r="62" spans="3:15" x14ac:dyDescent="0.25">
      <c r="C62" s="4"/>
      <c r="D62" s="4"/>
      <c r="E62" s="4"/>
      <c r="F62" s="4"/>
      <c r="O62" s="304" t="s">
        <v>89</v>
      </c>
    </row>
    <row r="63" spans="3:15" x14ac:dyDescent="0.25">
      <c r="C63" s="1043" t="s">
        <v>1042</v>
      </c>
      <c r="D63" s="1111" t="str">
        <f>$D$4</f>
        <v>Alap</v>
      </c>
      <c r="E63" s="4"/>
      <c r="O63" s="304" t="s">
        <v>89</v>
      </c>
    </row>
    <row r="64" spans="3:15" x14ac:dyDescent="0.25">
      <c r="C64" s="1045"/>
      <c r="D64" s="1112"/>
      <c r="E64" s="4"/>
      <c r="F64" s="976"/>
      <c r="O64" s="304" t="s">
        <v>89</v>
      </c>
    </row>
    <row r="65" spans="1:22" ht="6.75" customHeight="1" x14ac:dyDescent="0.25">
      <c r="C65" s="300"/>
      <c r="D65" s="300"/>
      <c r="E65" s="4"/>
      <c r="F65" s="4"/>
      <c r="O65" s="304" t="s">
        <v>89</v>
      </c>
    </row>
    <row r="66" spans="1:22" x14ac:dyDescent="0.25">
      <c r="C66" s="1139" t="s">
        <v>667</v>
      </c>
      <c r="D66" s="1141" t="s">
        <v>514</v>
      </c>
      <c r="E66" s="206" t="s">
        <v>89</v>
      </c>
      <c r="F66" s="735" t="s">
        <v>691</v>
      </c>
      <c r="G66" s="692"/>
      <c r="H66" s="692"/>
      <c r="I66" s="691"/>
      <c r="J66" s="735" t="s">
        <v>742</v>
      </c>
      <c r="K66" s="691"/>
      <c r="M66" s="735" t="s">
        <v>818</v>
      </c>
      <c r="N66" s="691"/>
      <c r="O66" s="304" t="s">
        <v>89</v>
      </c>
    </row>
    <row r="67" spans="1:22" x14ac:dyDescent="0.25">
      <c r="C67" s="1140"/>
      <c r="D67" s="1142"/>
      <c r="E67" s="206" t="s">
        <v>89</v>
      </c>
      <c r="F67" s="706" t="s">
        <v>644</v>
      </c>
      <c r="G67" s="706" t="s">
        <v>645</v>
      </c>
      <c r="H67" s="706" t="s">
        <v>131</v>
      </c>
      <c r="I67" s="706" t="s">
        <v>135</v>
      </c>
      <c r="J67" s="706" t="s">
        <v>131</v>
      </c>
      <c r="K67" s="706" t="s">
        <v>135</v>
      </c>
      <c r="M67" s="736" t="s">
        <v>819</v>
      </c>
      <c r="N67" s="737"/>
      <c r="O67" s="304" t="s">
        <v>89</v>
      </c>
    </row>
    <row r="68" spans="1:22" x14ac:dyDescent="0.25">
      <c r="C68" s="651" t="s">
        <v>642</v>
      </c>
      <c r="D68" s="385">
        <f>IF(COUNTIF(F68:I68,"&lt;&gt;-")&gt;0,SUM(F68:I68),"-")</f>
        <v>0</v>
      </c>
      <c r="E68" s="157" t="s">
        <v>89</v>
      </c>
      <c r="F68" s="385">
        <f>SUM('Shared-2013'!F68)</f>
        <v>0</v>
      </c>
      <c r="G68" s="385">
        <f>SUM('Shared-2013'!G68)</f>
        <v>0</v>
      </c>
      <c r="H68" s="385">
        <f>SUM('Shared-2013'!H68)</f>
        <v>0</v>
      </c>
      <c r="I68" s="385">
        <f>SUM('Shared-2013'!I68)</f>
        <v>0</v>
      </c>
      <c r="J68" s="385">
        <f>SUM('Shared-2013'!H73)</f>
        <v>0</v>
      </c>
      <c r="K68" s="385">
        <f>SUM('Shared-2013'!I73)</f>
        <v>0</v>
      </c>
      <c r="M68" s="738" t="s">
        <v>820</v>
      </c>
      <c r="N68" s="739"/>
      <c r="O68" s="304" t="s">
        <v>89</v>
      </c>
    </row>
    <row r="69" spans="1:22" x14ac:dyDescent="0.25">
      <c r="C69" s="943" t="s">
        <v>1118</v>
      </c>
      <c r="D69" s="449">
        <f>IF(COUNTIF(F69:F69,"&lt;&gt;-")&gt;0,SUM(F69:F69),"-")</f>
        <v>0</v>
      </c>
      <c r="E69" s="155"/>
      <c r="F69" s="990">
        <f>F68-SUM('Shared-2013'!F56:F58)+SUM('Shared-2013'!F67)+SUM(F21,F70,F71)</f>
        <v>0</v>
      </c>
      <c r="G69" s="416"/>
      <c r="H69" s="416"/>
      <c r="I69" s="416"/>
      <c r="J69" s="424"/>
      <c r="K69" s="425"/>
      <c r="M69" s="740" t="s">
        <v>821</v>
      </c>
      <c r="N69" s="992" t="str">
        <f>IF(I309&lt;&gt;"-",SUM(G11)-SUM(I309),"-")</f>
        <v>-</v>
      </c>
      <c r="O69" s="304" t="s">
        <v>89</v>
      </c>
    </row>
    <row r="70" spans="1:22" x14ac:dyDescent="0.25">
      <c r="A70" s="134" t="s">
        <v>826</v>
      </c>
      <c r="B70" s="135" t="str">
        <f>HYPERLINK(_TS_&amp;"#"&amp;SUBSTITUTE(A70,".","_"),"Open")</f>
        <v>Open</v>
      </c>
      <c r="C70" s="686" t="s">
        <v>708</v>
      </c>
      <c r="D70" s="416"/>
      <c r="E70" s="155" t="s">
        <v>89</v>
      </c>
      <c r="F70" s="990">
        <f>-SUM(I70)</f>
        <v>0</v>
      </c>
      <c r="G70" s="416"/>
      <c r="H70" s="416"/>
      <c r="I70" s="990">
        <f>SUM(M19)</f>
        <v>0</v>
      </c>
      <c r="J70" s="424"/>
      <c r="K70" s="425"/>
      <c r="O70" s="304" t="s">
        <v>89</v>
      </c>
    </row>
    <row r="71" spans="1:22" x14ac:dyDescent="0.25">
      <c r="C71" s="686" t="s">
        <v>643</v>
      </c>
      <c r="D71" s="449">
        <f>IF(COUNTIF(F71:F71,"&lt;&gt;-")&gt;0,SUM(F71:F71),"-")</f>
        <v>0</v>
      </c>
      <c r="E71" s="155" t="s">
        <v>89</v>
      </c>
      <c r="F71" s="990">
        <f>SUM(M88:M95)</f>
        <v>0</v>
      </c>
      <c r="G71" s="416"/>
      <c r="H71" s="416"/>
      <c r="I71" s="416"/>
      <c r="J71" s="424"/>
      <c r="K71" s="425"/>
      <c r="O71" s="304" t="s">
        <v>89</v>
      </c>
    </row>
    <row r="72" spans="1:22" x14ac:dyDescent="0.25">
      <c r="C72" s="688" t="s">
        <v>755</v>
      </c>
      <c r="D72" s="441">
        <f>IF(COUNTIF(F72:I72,"&lt;&gt;-")&gt;0,SUM(F72:I72),"-")</f>
        <v>0</v>
      </c>
      <c r="E72" s="161" t="s">
        <v>89</v>
      </c>
      <c r="F72" s="519" t="s">
        <v>521</v>
      </c>
      <c r="G72" s="519" t="s">
        <v>521</v>
      </c>
      <c r="H72" s="519" t="s">
        <v>521</v>
      </c>
      <c r="I72" s="440"/>
      <c r="J72" s="427"/>
      <c r="K72" s="428"/>
      <c r="O72" s="304" t="s">
        <v>89</v>
      </c>
    </row>
    <row r="73" spans="1:22" x14ac:dyDescent="0.25">
      <c r="C73" s="671" t="s">
        <v>1117</v>
      </c>
      <c r="D73" s="451">
        <f>IF(COUNTIF(F73:I73,"&lt;&gt;-")&gt;0,SUM(F73:I73),"-")</f>
        <v>0</v>
      </c>
      <c r="E73" s="206" t="s">
        <v>89</v>
      </c>
      <c r="F73" s="451">
        <f>SUM(F68,F21,F70:F72)</f>
        <v>0</v>
      </c>
      <c r="G73" s="451">
        <f>IF(COUNTIF(G68:G72,"&lt;&gt;-")&gt;0,SUM(G68:G72),"-")</f>
        <v>0</v>
      </c>
      <c r="H73" s="451">
        <f>IF(COUNTIF(H68:H72,"&lt;&gt;-")&gt;0,SUM(H68:H72),"-")</f>
        <v>0</v>
      </c>
      <c r="I73" s="451">
        <f>IF(COUNTIF(I68:I72,"&lt;&gt;-")&gt;0,SUM(I68:I72),"-")</f>
        <v>0</v>
      </c>
      <c r="O73" s="304" t="s">
        <v>89</v>
      </c>
    </row>
    <row r="74" spans="1:22" ht="6" customHeight="1" thickBot="1" x14ac:dyDescent="0.3">
      <c r="C74" s="237"/>
      <c r="D74" s="4"/>
      <c r="E74" s="4"/>
      <c r="F74" s="4"/>
      <c r="O74" s="304" t="s">
        <v>89</v>
      </c>
    </row>
    <row r="75" spans="1:22" x14ac:dyDescent="0.25">
      <c r="C75" s="267" t="s">
        <v>614</v>
      </c>
      <c r="D75" s="268"/>
      <c r="E75" s="268"/>
      <c r="F75" s="268"/>
      <c r="G75" s="268"/>
      <c r="H75" s="268"/>
      <c r="I75" s="268"/>
      <c r="J75" s="268"/>
      <c r="K75" s="268"/>
      <c r="L75" s="268"/>
      <c r="M75" s="268"/>
      <c r="N75" s="269"/>
      <c r="O75" s="304" t="s">
        <v>89</v>
      </c>
      <c r="P75" s="168" t="s">
        <v>730</v>
      </c>
      <c r="Q75" s="313" t="s">
        <v>545</v>
      </c>
      <c r="R75" s="1143" t="str">
        <f>Q77</f>
        <v>Market</v>
      </c>
      <c r="S75" s="1143" t="str">
        <f>Q78</f>
        <v>Default</v>
      </c>
      <c r="T75" s="1143" t="str">
        <f>Q79</f>
        <v>Life</v>
      </c>
      <c r="U75" s="1143" t="str">
        <f>Q80</f>
        <v>Health</v>
      </c>
      <c r="V75" s="1143" t="str">
        <f>Q81</f>
        <v>Non-Life</v>
      </c>
    </row>
    <row r="76" spans="1:22" ht="15" customHeight="1" thickBot="1" x14ac:dyDescent="0.3">
      <c r="A76" s="134" t="s">
        <v>764</v>
      </c>
      <c r="B76" s="135" t="str">
        <f>HYPERLINK(_TS_&amp;"#"&amp;SUBSTITUTE(A76,".","_"),"Open")</f>
        <v>Open</v>
      </c>
      <c r="C76" s="742" t="s">
        <v>601</v>
      </c>
      <c r="D76" s="692"/>
      <c r="E76" s="157" t="s">
        <v>89</v>
      </c>
      <c r="F76" s="789" t="s">
        <v>548</v>
      </c>
      <c r="G76" s="695" t="s">
        <v>549</v>
      </c>
      <c r="H76" s="695" t="s">
        <v>550</v>
      </c>
      <c r="I76" s="695" t="s">
        <v>551</v>
      </c>
      <c r="J76" s="695" t="s">
        <v>552</v>
      </c>
      <c r="K76" s="965" t="s">
        <v>553</v>
      </c>
      <c r="L76" s="966"/>
      <c r="M76" s="966"/>
      <c r="N76" s="837"/>
      <c r="O76" s="304" t="s">
        <v>89</v>
      </c>
      <c r="P76" s="134" t="s">
        <v>544</v>
      </c>
      <c r="Q76" s="314" t="s">
        <v>554</v>
      </c>
      <c r="R76" s="1144"/>
      <c r="S76" s="1144"/>
      <c r="T76" s="1144"/>
      <c r="U76" s="1144"/>
      <c r="V76" s="1144"/>
    </row>
    <row r="77" spans="1:22" ht="15.75" thickBot="1" x14ac:dyDescent="0.3">
      <c r="A77" s="134" t="s">
        <v>583</v>
      </c>
      <c r="B77" s="135" t="str">
        <f>HYPERLINK(_TS_&amp;"#"&amp;SUBSTITUTE(A77,".","_"),"Open")</f>
        <v>Open</v>
      </c>
      <c r="C77" s="749" t="s">
        <v>561</v>
      </c>
      <c r="D77" s="907">
        <f>SUM(D78,D81)</f>
        <v>0</v>
      </c>
      <c r="E77" s="155" t="s">
        <v>89</v>
      </c>
      <c r="F77" s="442">
        <f>SUM(F78:F83)</f>
        <v>0</v>
      </c>
      <c r="G77" s="417"/>
      <c r="H77" s="450">
        <f>SQRT(SUMPRODUCT(H79:H83,MMULT(Corr,H79:H83*1)))+H78</f>
        <v>0</v>
      </c>
      <c r="I77" s="431"/>
      <c r="J77" s="450">
        <f>SQRT(SUMPRODUCT(J79:J83,MMULT(Corr,J79:J83*1)))+J78</f>
        <v>0</v>
      </c>
      <c r="K77" s="684" t="s">
        <v>560</v>
      </c>
      <c r="L77" s="723"/>
      <c r="M77" s="723"/>
      <c r="N77" s="685"/>
      <c r="O77" s="304" t="s">
        <v>89</v>
      </c>
      <c r="P77" s="135" t="str">
        <f>HYPERLINK(_TS_&amp;"#"&amp;SUBSTITUTE(P76,".","_"),"Open")</f>
        <v>Open</v>
      </c>
      <c r="Q77" s="314" t="s">
        <v>546</v>
      </c>
      <c r="R77" s="169">
        <v>1</v>
      </c>
      <c r="S77" s="170">
        <f>R78</f>
        <v>0.25</v>
      </c>
      <c r="T77" s="170">
        <f>R79</f>
        <v>0.25</v>
      </c>
      <c r="U77" s="170">
        <f>R80</f>
        <v>0.25</v>
      </c>
      <c r="V77" s="171">
        <f>R81</f>
        <v>0.25</v>
      </c>
    </row>
    <row r="78" spans="1:22" ht="15.75" thickBot="1" x14ac:dyDescent="0.3">
      <c r="A78" s="134" t="s">
        <v>770</v>
      </c>
      <c r="B78" s="135" t="str">
        <f>HYPERLINK(_TS_&amp;"#"&amp;SUBSTITUTE(A78,".","_"),"Open")</f>
        <v>Open</v>
      </c>
      <c r="C78" s="753" t="s">
        <v>602</v>
      </c>
      <c r="D78" s="1001">
        <f>-MAX(MIN(H77-J77,SUM(M20)),0)</f>
        <v>0</v>
      </c>
      <c r="E78" s="155" t="s">
        <v>89</v>
      </c>
      <c r="F78" s="1002">
        <f>D111</f>
        <v>0</v>
      </c>
      <c r="G78" s="416"/>
      <c r="H78" s="990">
        <f>SUM(D111)</f>
        <v>0</v>
      </c>
      <c r="I78" s="416"/>
      <c r="J78" s="990">
        <f>H78</f>
        <v>0</v>
      </c>
      <c r="K78" s="754" t="s">
        <v>67</v>
      </c>
      <c r="L78" s="725"/>
      <c r="M78" s="725"/>
      <c r="N78" s="687"/>
      <c r="O78" s="304" t="s">
        <v>89</v>
      </c>
      <c r="P78" s="300"/>
      <c r="Q78" s="314" t="s">
        <v>547</v>
      </c>
      <c r="R78" s="172">
        <v>0.25</v>
      </c>
      <c r="S78" s="173">
        <v>1</v>
      </c>
      <c r="T78" s="174">
        <f>S79</f>
        <v>0.25</v>
      </c>
      <c r="U78" s="174">
        <f>S80</f>
        <v>0.25</v>
      </c>
      <c r="V78" s="175">
        <f>S81</f>
        <v>0.5</v>
      </c>
    </row>
    <row r="79" spans="1:22" ht="15.75" thickBot="1" x14ac:dyDescent="0.3">
      <c r="A79" s="134" t="s">
        <v>769</v>
      </c>
      <c r="B79" s="135" t="str">
        <f>HYPERLINK(_TS_&amp;"#"&amp;SUBSTITUTE(A79,".","_"),"Open")</f>
        <v>Open</v>
      </c>
      <c r="C79" s="755" t="s">
        <v>556</v>
      </c>
      <c r="D79" s="1003">
        <f>SUM(H77,D78,H84)</f>
        <v>0</v>
      </c>
      <c r="E79" s="155" t="s">
        <v>89</v>
      </c>
      <c r="F79" s="1002">
        <f>SUM(F101)</f>
        <v>0</v>
      </c>
      <c r="G79" s="1002">
        <f>SUM(G101)</f>
        <v>0</v>
      </c>
      <c r="H79" s="990">
        <f>SUM(H101)</f>
        <v>0</v>
      </c>
      <c r="I79" s="990">
        <f>SUM(I101)</f>
        <v>0</v>
      </c>
      <c r="J79" s="990">
        <f>SUM(J101)</f>
        <v>0</v>
      </c>
      <c r="K79" s="754" t="s">
        <v>164</v>
      </c>
      <c r="L79" s="725"/>
      <c r="M79" s="725"/>
      <c r="N79" s="687"/>
      <c r="O79" s="304" t="s">
        <v>89</v>
      </c>
      <c r="P79" s="300"/>
      <c r="Q79" s="176" t="s">
        <v>504</v>
      </c>
      <c r="R79" s="172">
        <v>0.25</v>
      </c>
      <c r="S79" s="173">
        <v>0.25</v>
      </c>
      <c r="T79" s="173">
        <v>1</v>
      </c>
      <c r="U79" s="174">
        <f>T80</f>
        <v>0.25</v>
      </c>
      <c r="V79" s="177">
        <f>T81</f>
        <v>0</v>
      </c>
    </row>
    <row r="80" spans="1:22" ht="15.75" thickBot="1" x14ac:dyDescent="0.3">
      <c r="C80" s="686" t="s">
        <v>558</v>
      </c>
      <c r="D80" s="515" t="s">
        <v>521</v>
      </c>
      <c r="E80" s="155" t="s">
        <v>89</v>
      </c>
      <c r="F80" s="1002">
        <f>SUM(F111)</f>
        <v>0</v>
      </c>
      <c r="G80" s="1002">
        <f>SUM(G111)</f>
        <v>0</v>
      </c>
      <c r="H80" s="990">
        <f>SUM(H111)</f>
        <v>0</v>
      </c>
      <c r="I80" s="990">
        <f>SUM(I111)</f>
        <v>0</v>
      </c>
      <c r="J80" s="990">
        <f>SUM(J111)</f>
        <v>0</v>
      </c>
      <c r="K80" s="756" t="s">
        <v>165</v>
      </c>
      <c r="L80" s="725"/>
      <c r="M80" s="725"/>
      <c r="N80" s="687"/>
      <c r="O80" s="304" t="s">
        <v>89</v>
      </c>
      <c r="P80" s="300"/>
      <c r="Q80" s="314" t="s">
        <v>515</v>
      </c>
      <c r="R80" s="172">
        <v>0.25</v>
      </c>
      <c r="S80" s="173">
        <v>0.25</v>
      </c>
      <c r="T80" s="173">
        <v>0.25</v>
      </c>
      <c r="U80" s="173">
        <v>1</v>
      </c>
      <c r="V80" s="177">
        <f>U81</f>
        <v>0</v>
      </c>
    </row>
    <row r="81" spans="1:22" ht="15.75" thickBot="1" x14ac:dyDescent="0.3">
      <c r="A81" s="134" t="s">
        <v>583</v>
      </c>
      <c r="B81" s="135" t="str">
        <f>HYPERLINK(_TS_&amp;"#"&amp;SUBSTITUTE(A81,".","_"),"Open")</f>
        <v>Open</v>
      </c>
      <c r="C81" s="753" t="s">
        <v>559</v>
      </c>
      <c r="D81" s="1001" t="str">
        <f>IF(D80="-","-",MIN(0,(SUM(D80)-(SUM(F19)-SUM(D19)))))</f>
        <v>-</v>
      </c>
      <c r="E81" s="155" t="s">
        <v>89</v>
      </c>
      <c r="F81" s="1002">
        <f>SUM(F116)</f>
        <v>0</v>
      </c>
      <c r="G81" s="1002">
        <f>SUM(G116)</f>
        <v>0</v>
      </c>
      <c r="H81" s="990">
        <f>SUM(H116)</f>
        <v>0</v>
      </c>
      <c r="I81" s="990">
        <f>SUM(I116)</f>
        <v>0</v>
      </c>
      <c r="J81" s="990">
        <f>SUM(J116)</f>
        <v>0</v>
      </c>
      <c r="K81" s="756" t="s">
        <v>600</v>
      </c>
      <c r="L81" s="725"/>
      <c r="M81" s="725"/>
      <c r="N81" s="687"/>
      <c r="O81" s="304" t="s">
        <v>89</v>
      </c>
      <c r="P81" s="300"/>
      <c r="Q81" s="314" t="s">
        <v>516</v>
      </c>
      <c r="R81" s="178">
        <v>0.25</v>
      </c>
      <c r="S81" s="179">
        <v>0.5</v>
      </c>
      <c r="T81" s="179">
        <v>0</v>
      </c>
      <c r="U81" s="179">
        <v>0</v>
      </c>
      <c r="V81" s="180">
        <v>1</v>
      </c>
    </row>
    <row r="82" spans="1:22" x14ac:dyDescent="0.25">
      <c r="C82" s="431"/>
      <c r="D82" s="437"/>
      <c r="E82" s="155" t="s">
        <v>89</v>
      </c>
      <c r="F82" s="1002">
        <f>SUM(F126)</f>
        <v>0</v>
      </c>
      <c r="G82" s="1002">
        <f>SUM(G126)</f>
        <v>0</v>
      </c>
      <c r="H82" s="1003">
        <f>SUM(H126)</f>
        <v>0</v>
      </c>
      <c r="I82" s="1003">
        <f>SUM(I126)</f>
        <v>0</v>
      </c>
      <c r="J82" s="1002">
        <f>SUM(J126)</f>
        <v>0</v>
      </c>
      <c r="K82" s="756" t="s">
        <v>555</v>
      </c>
      <c r="L82" s="725"/>
      <c r="M82" s="725"/>
      <c r="N82" s="687"/>
      <c r="O82" s="304" t="s">
        <v>89</v>
      </c>
    </row>
    <row r="83" spans="1:22" x14ac:dyDescent="0.25">
      <c r="C83" s="427"/>
      <c r="D83" s="436"/>
      <c r="E83" s="155" t="s">
        <v>89</v>
      </c>
      <c r="F83" s="1002">
        <f>SUM(D126)</f>
        <v>0</v>
      </c>
      <c r="G83" s="990">
        <f>SUM(H83)-SUM(F83)</f>
        <v>0</v>
      </c>
      <c r="H83" s="1003">
        <f>SUM(D126)</f>
        <v>0</v>
      </c>
      <c r="I83" s="416"/>
      <c r="J83" s="1002">
        <f>SUM(H83)</f>
        <v>0</v>
      </c>
      <c r="K83" s="756" t="s">
        <v>166</v>
      </c>
      <c r="L83" s="725"/>
      <c r="M83" s="725"/>
      <c r="N83" s="687"/>
      <c r="O83" s="304" t="s">
        <v>89</v>
      </c>
    </row>
    <row r="84" spans="1:22" ht="15.75" thickBot="1" x14ac:dyDescent="0.3">
      <c r="C84" s="686" t="s">
        <v>604</v>
      </c>
      <c r="D84" s="726"/>
      <c r="E84" s="155" t="s">
        <v>89</v>
      </c>
      <c r="F84" s="1004">
        <f>SUM(D116)</f>
        <v>0</v>
      </c>
      <c r="G84" s="1005">
        <f>SUM(H84)-SUM(F84)</f>
        <v>0</v>
      </c>
      <c r="H84" s="1006">
        <f>SUM(D116)</f>
        <v>0</v>
      </c>
      <c r="I84" s="433"/>
      <c r="J84" s="1004">
        <f>H84</f>
        <v>0</v>
      </c>
      <c r="K84" s="758" t="s">
        <v>557</v>
      </c>
      <c r="L84" s="759"/>
      <c r="M84" s="759"/>
      <c r="N84" s="760"/>
      <c r="O84" s="304" t="s">
        <v>89</v>
      </c>
    </row>
    <row r="85" spans="1:22" x14ac:dyDescent="0.25">
      <c r="C85" s="688" t="s">
        <v>603</v>
      </c>
      <c r="D85" s="529" t="s">
        <v>521</v>
      </c>
      <c r="E85" s="161" t="s">
        <v>89</v>
      </c>
      <c r="F85" s="1007">
        <f>SUM(L88:L95)</f>
        <v>0</v>
      </c>
      <c r="G85" s="532" t="s">
        <v>521</v>
      </c>
      <c r="H85" s="471">
        <f>SUM(J85)</f>
        <v>0</v>
      </c>
      <c r="I85" s="434"/>
      <c r="J85" s="1008">
        <f>SUM(F85:G85)</f>
        <v>0</v>
      </c>
      <c r="K85" s="761" t="s">
        <v>611</v>
      </c>
      <c r="L85" s="762"/>
      <c r="M85" s="762"/>
      <c r="N85" s="763"/>
      <c r="O85" s="304" t="s">
        <v>89</v>
      </c>
    </row>
    <row r="86" spans="1:22" ht="6" customHeight="1" x14ac:dyDescent="0.25">
      <c r="C86" s="4"/>
      <c r="D86" s="4"/>
      <c r="E86" s="4"/>
      <c r="F86" s="4"/>
      <c r="O86" s="304" t="s">
        <v>89</v>
      </c>
    </row>
    <row r="87" spans="1:22" ht="36" x14ac:dyDescent="0.25">
      <c r="C87" s="1147" t="s">
        <v>998</v>
      </c>
      <c r="D87" s="1148"/>
      <c r="E87" s="307" t="s">
        <v>89</v>
      </c>
      <c r="F87" s="764" t="s">
        <v>993</v>
      </c>
      <c r="G87" s="764" t="s">
        <v>165</v>
      </c>
      <c r="H87" s="764" t="s">
        <v>994</v>
      </c>
      <c r="I87" s="764" t="s">
        <v>555</v>
      </c>
      <c r="J87" s="764" t="s">
        <v>995</v>
      </c>
      <c r="K87" s="764" t="s">
        <v>557</v>
      </c>
      <c r="L87" s="764" t="s">
        <v>996</v>
      </c>
      <c r="M87" s="942" t="s">
        <v>997</v>
      </c>
      <c r="O87" s="304" t="s">
        <v>89</v>
      </c>
    </row>
    <row r="88" spans="1:22" x14ac:dyDescent="0.25">
      <c r="C88" s="923" t="s">
        <v>986</v>
      </c>
      <c r="D88" s="524"/>
      <c r="E88" s="304" t="s">
        <v>89</v>
      </c>
      <c r="F88" s="528" t="s">
        <v>521</v>
      </c>
      <c r="G88" s="528" t="s">
        <v>521</v>
      </c>
      <c r="H88" s="528" t="s">
        <v>521</v>
      </c>
      <c r="I88" s="528" t="s">
        <v>521</v>
      </c>
      <c r="J88" s="528" t="s">
        <v>521</v>
      </c>
      <c r="K88" s="528" t="s">
        <v>521</v>
      </c>
      <c r="L88" s="520" t="s">
        <v>521</v>
      </c>
      <c r="M88" s="528" t="s">
        <v>521</v>
      </c>
      <c r="O88" s="304" t="s">
        <v>89</v>
      </c>
    </row>
    <row r="89" spans="1:22" x14ac:dyDescent="0.25">
      <c r="C89" s="923" t="s">
        <v>985</v>
      </c>
      <c r="D89" s="524"/>
      <c r="E89" s="304" t="s">
        <v>89</v>
      </c>
      <c r="F89" s="514" t="s">
        <v>521</v>
      </c>
      <c r="G89" s="514" t="s">
        <v>521</v>
      </c>
      <c r="H89" s="514" t="s">
        <v>521</v>
      </c>
      <c r="I89" s="514" t="s">
        <v>521</v>
      </c>
      <c r="J89" s="514" t="s">
        <v>521</v>
      </c>
      <c r="K89" s="514" t="s">
        <v>521</v>
      </c>
      <c r="L89" s="515" t="s">
        <v>521</v>
      </c>
      <c r="M89" s="514" t="s">
        <v>521</v>
      </c>
      <c r="O89" s="304" t="s">
        <v>89</v>
      </c>
    </row>
    <row r="90" spans="1:22" x14ac:dyDescent="0.25">
      <c r="C90" s="923" t="s">
        <v>987</v>
      </c>
      <c r="D90" s="524"/>
      <c r="E90" s="304" t="s">
        <v>89</v>
      </c>
      <c r="F90" s="514" t="s">
        <v>521</v>
      </c>
      <c r="G90" s="514" t="s">
        <v>521</v>
      </c>
      <c r="H90" s="514" t="s">
        <v>521</v>
      </c>
      <c r="I90" s="514" t="s">
        <v>521</v>
      </c>
      <c r="J90" s="514" t="s">
        <v>521</v>
      </c>
      <c r="K90" s="514" t="s">
        <v>521</v>
      </c>
      <c r="L90" s="515" t="s">
        <v>521</v>
      </c>
      <c r="M90" s="514" t="s">
        <v>521</v>
      </c>
      <c r="O90" s="304" t="s">
        <v>89</v>
      </c>
    </row>
    <row r="91" spans="1:22" x14ac:dyDescent="0.25">
      <c r="C91" s="923" t="s">
        <v>988</v>
      </c>
      <c r="D91" s="524"/>
      <c r="E91" s="304" t="s">
        <v>89</v>
      </c>
      <c r="F91" s="514" t="s">
        <v>521</v>
      </c>
      <c r="G91" s="514" t="s">
        <v>521</v>
      </c>
      <c r="H91" s="514" t="s">
        <v>521</v>
      </c>
      <c r="I91" s="514" t="s">
        <v>521</v>
      </c>
      <c r="J91" s="514" t="s">
        <v>521</v>
      </c>
      <c r="K91" s="514" t="s">
        <v>521</v>
      </c>
      <c r="L91" s="515" t="s">
        <v>521</v>
      </c>
      <c r="M91" s="514" t="s">
        <v>521</v>
      </c>
      <c r="O91" s="304" t="s">
        <v>89</v>
      </c>
    </row>
    <row r="92" spans="1:22" x14ac:dyDescent="0.25">
      <c r="C92" s="923" t="s">
        <v>989</v>
      </c>
      <c r="D92" s="524"/>
      <c r="E92" s="304" t="s">
        <v>89</v>
      </c>
      <c r="F92" s="514" t="s">
        <v>521</v>
      </c>
      <c r="G92" s="514" t="s">
        <v>521</v>
      </c>
      <c r="H92" s="514" t="s">
        <v>521</v>
      </c>
      <c r="I92" s="514" t="s">
        <v>521</v>
      </c>
      <c r="J92" s="514" t="s">
        <v>521</v>
      </c>
      <c r="K92" s="514" t="s">
        <v>521</v>
      </c>
      <c r="L92" s="515" t="s">
        <v>521</v>
      </c>
      <c r="M92" s="514" t="s">
        <v>521</v>
      </c>
      <c r="O92" s="304" t="s">
        <v>89</v>
      </c>
    </row>
    <row r="93" spans="1:22" x14ac:dyDescent="0.25">
      <c r="C93" s="923" t="s">
        <v>990</v>
      </c>
      <c r="D93" s="524"/>
      <c r="E93" s="304" t="s">
        <v>89</v>
      </c>
      <c r="F93" s="514" t="s">
        <v>521</v>
      </c>
      <c r="G93" s="514" t="s">
        <v>521</v>
      </c>
      <c r="H93" s="514" t="s">
        <v>521</v>
      </c>
      <c r="I93" s="514" t="s">
        <v>521</v>
      </c>
      <c r="J93" s="514" t="s">
        <v>521</v>
      </c>
      <c r="K93" s="514" t="s">
        <v>521</v>
      </c>
      <c r="L93" s="515" t="s">
        <v>521</v>
      </c>
      <c r="M93" s="514" t="s">
        <v>521</v>
      </c>
      <c r="O93" s="304" t="s">
        <v>89</v>
      </c>
    </row>
    <row r="94" spans="1:22" x14ac:dyDescent="0.25">
      <c r="C94" s="923" t="s">
        <v>991</v>
      </c>
      <c r="D94" s="524"/>
      <c r="E94" s="304" t="s">
        <v>89</v>
      </c>
      <c r="F94" s="514" t="s">
        <v>521</v>
      </c>
      <c r="G94" s="514" t="s">
        <v>521</v>
      </c>
      <c r="H94" s="514" t="s">
        <v>521</v>
      </c>
      <c r="I94" s="514" t="s">
        <v>521</v>
      </c>
      <c r="J94" s="514" t="s">
        <v>521</v>
      </c>
      <c r="K94" s="514" t="s">
        <v>521</v>
      </c>
      <c r="L94" s="515" t="s">
        <v>521</v>
      </c>
      <c r="M94" s="514" t="s">
        <v>521</v>
      </c>
      <c r="O94" s="304" t="s">
        <v>89</v>
      </c>
    </row>
    <row r="95" spans="1:22" x14ac:dyDescent="0.25">
      <c r="C95" s="964" t="s">
        <v>992</v>
      </c>
      <c r="D95" s="689"/>
      <c r="E95" s="308" t="s">
        <v>89</v>
      </c>
      <c r="F95" s="519" t="s">
        <v>521</v>
      </c>
      <c r="G95" s="519" t="s">
        <v>521</v>
      </c>
      <c r="H95" s="519" t="s">
        <v>521</v>
      </c>
      <c r="I95" s="519" t="s">
        <v>521</v>
      </c>
      <c r="J95" s="519" t="s">
        <v>521</v>
      </c>
      <c r="K95" s="519" t="s">
        <v>521</v>
      </c>
      <c r="L95" s="525" t="s">
        <v>521</v>
      </c>
      <c r="M95" s="519" t="s">
        <v>521</v>
      </c>
      <c r="O95" s="304" t="s">
        <v>89</v>
      </c>
    </row>
    <row r="96" spans="1:22" ht="8.25" customHeight="1" x14ac:dyDescent="0.25">
      <c r="C96" s="4"/>
      <c r="D96" s="4"/>
      <c r="E96" s="4"/>
      <c r="F96" s="4"/>
      <c r="O96" s="304" t="s">
        <v>89</v>
      </c>
    </row>
    <row r="97" spans="1:24" x14ac:dyDescent="0.25">
      <c r="C97" s="1043" t="s">
        <v>1043</v>
      </c>
      <c r="D97" s="1111" t="str">
        <f>$D$4</f>
        <v>Alap</v>
      </c>
      <c r="E97" s="300"/>
      <c r="F97" s="300"/>
      <c r="G97" s="300"/>
      <c r="I97" s="300"/>
      <c r="J97" s="300"/>
      <c r="K97" s="300"/>
      <c r="L97" s="300"/>
      <c r="M97" s="300"/>
      <c r="N97" s="300"/>
      <c r="O97" s="304" t="s">
        <v>89</v>
      </c>
    </row>
    <row r="98" spans="1:24" x14ac:dyDescent="0.25">
      <c r="C98" s="1045"/>
      <c r="D98" s="1112"/>
      <c r="E98" s="300"/>
      <c r="F98" s="300"/>
      <c r="G98" s="300"/>
      <c r="I98" s="300"/>
      <c r="J98" s="300"/>
      <c r="K98" s="300"/>
      <c r="L98" s="300"/>
      <c r="M98" s="300"/>
      <c r="N98" s="300"/>
      <c r="O98" s="304" t="s">
        <v>89</v>
      </c>
    </row>
    <row r="99" spans="1:24" ht="6.75" customHeight="1" thickBot="1" x14ac:dyDescent="0.3">
      <c r="C99" s="300"/>
      <c r="D99" s="300"/>
      <c r="E99" s="300"/>
      <c r="F99" s="300"/>
      <c r="G99" s="300"/>
      <c r="H99" s="300"/>
      <c r="I99" s="300"/>
      <c r="J99" s="300"/>
      <c r="K99" s="300"/>
      <c r="L99" s="300"/>
      <c r="M99" s="300"/>
      <c r="N99" s="300"/>
      <c r="O99" s="304" t="s">
        <v>89</v>
      </c>
    </row>
    <row r="100" spans="1:24" ht="15" customHeight="1" x14ac:dyDescent="0.25">
      <c r="C100" s="285" t="s">
        <v>778</v>
      </c>
      <c r="D100" s="182"/>
      <c r="E100" s="300"/>
      <c r="F100" s="695" t="s">
        <v>548</v>
      </c>
      <c r="G100" s="695" t="s">
        <v>549</v>
      </c>
      <c r="H100" s="695" t="s">
        <v>550</v>
      </c>
      <c r="I100" s="695" t="s">
        <v>551</v>
      </c>
      <c r="J100" s="695" t="s">
        <v>552</v>
      </c>
      <c r="K100" s="165" t="s">
        <v>563</v>
      </c>
      <c r="L100" s="166"/>
      <c r="M100" s="166"/>
      <c r="N100" s="167"/>
      <c r="O100" s="304" t="s">
        <v>89</v>
      </c>
      <c r="P100" s="168" t="s">
        <v>148</v>
      </c>
      <c r="Q100" s="313" t="s">
        <v>545</v>
      </c>
      <c r="R100" s="1145" t="str">
        <f>Q102</f>
        <v>Interest</v>
      </c>
      <c r="S100" s="1145" t="str">
        <f>Q103</f>
        <v xml:space="preserve">Equity </v>
      </c>
      <c r="T100" s="1145" t="str">
        <f>Q104</f>
        <v>Property</v>
      </c>
      <c r="U100" s="1145" t="str">
        <f>Q105</f>
        <v>Spread</v>
      </c>
      <c r="V100" s="1145" t="str">
        <f>Q106</f>
        <v>Currency</v>
      </c>
      <c r="W100" s="1145" t="str">
        <f>Q107</f>
        <v>Concentration</v>
      </c>
      <c r="X100" s="1145" t="str">
        <f>Q108</f>
        <v>Counter-cyclical premium</v>
      </c>
    </row>
    <row r="101" spans="1:24" ht="15.75" thickBot="1" x14ac:dyDescent="0.3">
      <c r="C101" s="651" t="s">
        <v>779</v>
      </c>
      <c r="D101" s="528" t="s">
        <v>521</v>
      </c>
      <c r="E101" s="300"/>
      <c r="F101" s="453">
        <f>SUM(H102:H108)</f>
        <v>0</v>
      </c>
      <c r="G101" s="453">
        <f>SUM(H101)-SUM(F101)</f>
        <v>0</v>
      </c>
      <c r="H101" s="992">
        <f>SQRT(SUMPRODUCT(H102:H108,MMULT(CorrMkt,H102:H108*1)))</f>
        <v>0</v>
      </c>
      <c r="I101" s="992">
        <f>SQRT(SUMPRODUCT(I102:I108,MMULT(CorrMkt,I102:I108*1)))</f>
        <v>0</v>
      </c>
      <c r="J101" s="992">
        <f>SQRT(SUMPRODUCT(J102:J108,MMULT(CorrMkt,J102:J108*1)))</f>
        <v>0</v>
      </c>
      <c r="K101" s="766" t="s">
        <v>567</v>
      </c>
      <c r="L101" s="723"/>
      <c r="M101" s="723"/>
      <c r="N101" s="685"/>
      <c r="O101" s="304" t="s">
        <v>89</v>
      </c>
      <c r="P101" s="134" t="s">
        <v>612</v>
      </c>
      <c r="Q101" s="314" t="s">
        <v>554</v>
      </c>
      <c r="R101" s="1146"/>
      <c r="S101" s="1146"/>
      <c r="T101" s="1146"/>
      <c r="U101" s="1146"/>
      <c r="V101" s="1146"/>
      <c r="W101" s="1146"/>
      <c r="X101" s="1146"/>
    </row>
    <row r="102" spans="1:24" ht="15.75" thickBot="1" x14ac:dyDescent="0.3">
      <c r="C102" s="693" t="s">
        <v>780</v>
      </c>
      <c r="D102" s="519" t="s">
        <v>521</v>
      </c>
      <c r="E102" s="300"/>
      <c r="F102" s="767" t="s">
        <v>568</v>
      </c>
      <c r="G102" s="1009">
        <f>IF(J137="Up",0%,50%)</f>
        <v>0.5</v>
      </c>
      <c r="H102" s="990">
        <f>SUM(J136)</f>
        <v>0</v>
      </c>
      <c r="I102" s="990">
        <f>SUM(K136)</f>
        <v>0</v>
      </c>
      <c r="J102" s="990">
        <f>SUM(L136)</f>
        <v>0</v>
      </c>
      <c r="K102" s="768" t="s">
        <v>569</v>
      </c>
      <c r="L102" s="769"/>
      <c r="M102" s="769"/>
      <c r="N102" s="607"/>
      <c r="O102" s="304" t="s">
        <v>89</v>
      </c>
      <c r="P102" s="135" t="str">
        <f>HYPERLINK(_TS_&amp;"#"&amp;SUBSTITUTE(P101,".","_"),"Open")</f>
        <v>Open</v>
      </c>
      <c r="Q102" s="184" t="s">
        <v>149</v>
      </c>
      <c r="R102" s="185">
        <v>1</v>
      </c>
      <c r="S102" s="186">
        <f>R103</f>
        <v>0.5</v>
      </c>
      <c r="T102" s="186">
        <f>S102</f>
        <v>0.5</v>
      </c>
      <c r="U102" s="186">
        <f>T102</f>
        <v>0.5</v>
      </c>
      <c r="V102" s="187">
        <f>R106</f>
        <v>0.25</v>
      </c>
      <c r="W102" s="187">
        <f>R107</f>
        <v>0</v>
      </c>
      <c r="X102" s="188">
        <f>R108</f>
        <v>0</v>
      </c>
    </row>
    <row r="103" spans="1:24" ht="15.75" thickBot="1" x14ac:dyDescent="0.3">
      <c r="E103" s="300"/>
      <c r="F103" s="424"/>
      <c r="G103" s="435"/>
      <c r="H103" s="990">
        <f>SUM(J140)</f>
        <v>0</v>
      </c>
      <c r="I103" s="990">
        <f>SUM(K140)</f>
        <v>0</v>
      </c>
      <c r="J103" s="990">
        <f>SUM(L140)</f>
        <v>0</v>
      </c>
      <c r="K103" s="756" t="s">
        <v>570</v>
      </c>
      <c r="L103" s="734"/>
      <c r="M103" s="734"/>
      <c r="N103" s="770"/>
      <c r="O103" s="304" t="s">
        <v>89</v>
      </c>
      <c r="P103" s="300"/>
      <c r="Q103" s="184" t="s">
        <v>150</v>
      </c>
      <c r="R103" s="1010">
        <f>R109</f>
        <v>0.5</v>
      </c>
      <c r="S103" s="191">
        <v>1</v>
      </c>
      <c r="T103" s="192">
        <f>S104</f>
        <v>0.75</v>
      </c>
      <c r="U103" s="192">
        <f>S105</f>
        <v>0.75</v>
      </c>
      <c r="V103" s="192">
        <f>S106</f>
        <v>0.25</v>
      </c>
      <c r="W103" s="192">
        <f>S107</f>
        <v>0</v>
      </c>
      <c r="X103" s="193">
        <f>S108</f>
        <v>0</v>
      </c>
    </row>
    <row r="104" spans="1:24" ht="15.75" thickBot="1" x14ac:dyDescent="0.3">
      <c r="C104" s="4"/>
      <c r="D104" s="4"/>
      <c r="E104" s="300"/>
      <c r="F104" s="424"/>
      <c r="G104" s="435"/>
      <c r="H104" s="990">
        <f t="shared" ref="H104:J105" si="1">SUM(J147)</f>
        <v>0</v>
      </c>
      <c r="I104" s="990">
        <f t="shared" si="1"/>
        <v>0</v>
      </c>
      <c r="J104" s="990">
        <f t="shared" si="1"/>
        <v>0</v>
      </c>
      <c r="K104" s="756" t="s">
        <v>571</v>
      </c>
      <c r="L104" s="734"/>
      <c r="M104" s="734"/>
      <c r="N104" s="770"/>
      <c r="O104" s="304" t="s">
        <v>89</v>
      </c>
      <c r="P104" s="300"/>
      <c r="Q104" s="184" t="s">
        <v>57</v>
      </c>
      <c r="R104" s="1010">
        <f>R103</f>
        <v>0.5</v>
      </c>
      <c r="S104" s="191">
        <v>0.75</v>
      </c>
      <c r="T104" s="191">
        <v>1</v>
      </c>
      <c r="U104" s="192">
        <f>T105</f>
        <v>0.5</v>
      </c>
      <c r="V104" s="192">
        <f>T106</f>
        <v>0.25</v>
      </c>
      <c r="W104" s="192">
        <f>T107</f>
        <v>0</v>
      </c>
      <c r="X104" s="193">
        <f>U108</f>
        <v>0</v>
      </c>
    </row>
    <row r="105" spans="1:24" ht="15.75" thickBot="1" x14ac:dyDescent="0.3">
      <c r="C105" s="4"/>
      <c r="D105" s="4"/>
      <c r="E105" s="300"/>
      <c r="F105" s="424"/>
      <c r="G105" s="435"/>
      <c r="H105" s="990">
        <f t="shared" si="1"/>
        <v>0</v>
      </c>
      <c r="I105" s="990">
        <f t="shared" si="1"/>
        <v>0</v>
      </c>
      <c r="J105" s="990">
        <f t="shared" si="1"/>
        <v>0</v>
      </c>
      <c r="K105" s="756" t="s">
        <v>572</v>
      </c>
      <c r="L105" s="734"/>
      <c r="M105" s="734"/>
      <c r="N105" s="770"/>
      <c r="O105" s="304" t="s">
        <v>89</v>
      </c>
      <c r="P105" s="300"/>
      <c r="Q105" s="184" t="s">
        <v>58</v>
      </c>
      <c r="R105" s="1010">
        <f>R104</f>
        <v>0.5</v>
      </c>
      <c r="S105" s="191">
        <v>0.75</v>
      </c>
      <c r="T105" s="191">
        <v>0.5</v>
      </c>
      <c r="U105" s="191">
        <v>1</v>
      </c>
      <c r="V105" s="192">
        <f>U106</f>
        <v>0.25</v>
      </c>
      <c r="W105" s="192">
        <f>U107</f>
        <v>0</v>
      </c>
      <c r="X105" s="193">
        <f>U108</f>
        <v>0</v>
      </c>
    </row>
    <row r="106" spans="1:24" ht="15.75" thickBot="1" x14ac:dyDescent="0.3">
      <c r="C106" s="4"/>
      <c r="D106" s="4"/>
      <c r="E106" s="300"/>
      <c r="F106" s="424"/>
      <c r="G106" s="435"/>
      <c r="H106" s="990">
        <f>SUM(J155)</f>
        <v>0</v>
      </c>
      <c r="I106" s="990">
        <f>SUM(K155)</f>
        <v>0</v>
      </c>
      <c r="J106" s="990">
        <f>SUM(L155)</f>
        <v>0</v>
      </c>
      <c r="K106" s="756" t="s">
        <v>573</v>
      </c>
      <c r="L106" s="734"/>
      <c r="M106" s="734"/>
      <c r="N106" s="770"/>
      <c r="O106" s="304" t="s">
        <v>89</v>
      </c>
      <c r="P106" s="300"/>
      <c r="Q106" s="184" t="s">
        <v>37</v>
      </c>
      <c r="R106" s="194">
        <v>0.25</v>
      </c>
      <c r="S106" s="191">
        <v>0.25</v>
      </c>
      <c r="T106" s="191">
        <v>0.25</v>
      </c>
      <c r="U106" s="191">
        <v>0.25</v>
      </c>
      <c r="V106" s="191">
        <v>1</v>
      </c>
      <c r="W106" s="192">
        <f>V107</f>
        <v>0</v>
      </c>
      <c r="X106" s="193">
        <f>V108</f>
        <v>0</v>
      </c>
    </row>
    <row r="107" spans="1:24" ht="15.75" thickBot="1" x14ac:dyDescent="0.3">
      <c r="E107" s="300"/>
      <c r="F107" s="424"/>
      <c r="G107" s="435"/>
      <c r="H107" s="990">
        <f t="shared" ref="H107:J108" si="2">SUM(J158)</f>
        <v>0</v>
      </c>
      <c r="I107" s="990">
        <f t="shared" si="2"/>
        <v>0</v>
      </c>
      <c r="J107" s="990">
        <f t="shared" si="2"/>
        <v>0</v>
      </c>
      <c r="K107" s="756" t="s">
        <v>574</v>
      </c>
      <c r="L107" s="734"/>
      <c r="M107" s="734"/>
      <c r="N107" s="770"/>
      <c r="O107" s="304" t="s">
        <v>89</v>
      </c>
      <c r="P107" s="300"/>
      <c r="Q107" s="195" t="s">
        <v>59</v>
      </c>
      <c r="R107" s="194">
        <v>0</v>
      </c>
      <c r="S107" s="191">
        <v>0</v>
      </c>
      <c r="T107" s="191">
        <v>0</v>
      </c>
      <c r="U107" s="191">
        <v>0</v>
      </c>
      <c r="V107" s="191">
        <v>0</v>
      </c>
      <c r="W107" s="191">
        <v>1</v>
      </c>
      <c r="X107" s="196">
        <f>W108</f>
        <v>0</v>
      </c>
    </row>
    <row r="108" spans="1:24" ht="15.75" thickBot="1" x14ac:dyDescent="0.3">
      <c r="C108" s="4"/>
      <c r="D108" s="4"/>
      <c r="E108" s="300"/>
      <c r="F108" s="427"/>
      <c r="G108" s="436"/>
      <c r="H108" s="1032">
        <f t="shared" si="2"/>
        <v>0</v>
      </c>
      <c r="I108" s="1032">
        <f t="shared" si="2"/>
        <v>0</v>
      </c>
      <c r="J108" s="1032">
        <f t="shared" si="2"/>
        <v>0</v>
      </c>
      <c r="K108" s="771" t="s">
        <v>1165</v>
      </c>
      <c r="L108" s="772"/>
      <c r="M108" s="772"/>
      <c r="N108" s="773"/>
      <c r="O108" s="304" t="s">
        <v>89</v>
      </c>
      <c r="P108" s="300"/>
      <c r="Q108" s="195" t="s">
        <v>564</v>
      </c>
      <c r="R108" s="197">
        <v>0</v>
      </c>
      <c r="S108" s="198">
        <v>0</v>
      </c>
      <c r="T108" s="198">
        <v>0</v>
      </c>
      <c r="U108" s="198">
        <v>0</v>
      </c>
      <c r="V108" s="199">
        <v>0</v>
      </c>
      <c r="W108" s="199">
        <v>0</v>
      </c>
      <c r="X108" s="200">
        <v>1</v>
      </c>
    </row>
    <row r="109" spans="1:24" ht="6.75" customHeight="1" x14ac:dyDescent="0.25">
      <c r="C109" s="4"/>
      <c r="D109" s="4"/>
      <c r="E109" s="300"/>
      <c r="F109" s="300"/>
      <c r="G109" s="300"/>
      <c r="H109" s="300"/>
      <c r="I109" s="300"/>
      <c r="J109" s="300"/>
      <c r="K109" s="9"/>
      <c r="L109" s="9"/>
      <c r="M109" s="9"/>
      <c r="N109" s="29"/>
      <c r="O109" s="304" t="s">
        <v>89</v>
      </c>
      <c r="Q109" s="210" t="s">
        <v>613</v>
      </c>
      <c r="R109" s="211">
        <f>G102</f>
        <v>0.5</v>
      </c>
    </row>
    <row r="110" spans="1:24" ht="15.75" thickBot="1" x14ac:dyDescent="0.3">
      <c r="C110" s="181" t="s">
        <v>562</v>
      </c>
      <c r="D110" s="182"/>
      <c r="E110" s="300"/>
      <c r="F110" s="695" t="s">
        <v>548</v>
      </c>
      <c r="G110" s="695" t="s">
        <v>549</v>
      </c>
      <c r="H110" s="695" t="s">
        <v>550</v>
      </c>
      <c r="I110" s="695" t="s">
        <v>551</v>
      </c>
      <c r="J110" s="695" t="s">
        <v>552</v>
      </c>
      <c r="K110" s="189" t="s">
        <v>580</v>
      </c>
      <c r="L110" s="201"/>
      <c r="M110" s="201"/>
      <c r="N110" s="202"/>
      <c r="O110" s="304" t="s">
        <v>89</v>
      </c>
    </row>
    <row r="111" spans="1:24" ht="15.75" thickBot="1" x14ac:dyDescent="0.3">
      <c r="A111" s="134" t="s">
        <v>565</v>
      </c>
      <c r="B111" s="135" t="str">
        <f>HYPERLINK(_TS_&amp;"#"&amp;SUBSTITUTE(A111,".","_"),"Open")</f>
        <v>Open</v>
      </c>
      <c r="C111" s="671" t="s">
        <v>566</v>
      </c>
      <c r="D111" s="386">
        <f>SUM('Shared-2013'!D81)</f>
        <v>0</v>
      </c>
      <c r="E111" s="300"/>
      <c r="F111" s="453">
        <f>SUM(H112:H113)</f>
        <v>0</v>
      </c>
      <c r="G111" s="453">
        <f>SUM(H111)-SUM(F111)</f>
        <v>0</v>
      </c>
      <c r="H111" s="985">
        <f>SQRT(SUM(H112)^2+1.5*SUM(H112)*SUM(H113)+SUM(H113)^2)</f>
        <v>0</v>
      </c>
      <c r="I111" s="444">
        <f>SUM(J111)-SUM(H111)</f>
        <v>0</v>
      </c>
      <c r="J111" s="448">
        <f>SQRT(SUM(J112)^2+1.5*SUM(J112)*SUM(J113)+SUM(J113)^2)</f>
        <v>0</v>
      </c>
      <c r="K111" s="766" t="s">
        <v>567</v>
      </c>
      <c r="L111" s="723"/>
      <c r="M111" s="723"/>
      <c r="N111" s="685"/>
      <c r="O111" s="304" t="s">
        <v>89</v>
      </c>
      <c r="P111" s="213" t="s">
        <v>442</v>
      </c>
      <c r="Q111" s="214" t="s">
        <v>442</v>
      </c>
      <c r="R111" s="215" t="s">
        <v>440</v>
      </c>
      <c r="S111" s="215" t="s">
        <v>441</v>
      </c>
    </row>
    <row r="112" spans="1:24" ht="15.75" thickBot="1" x14ac:dyDescent="0.3">
      <c r="C112" s="4"/>
      <c r="D112" s="4"/>
      <c r="E112" s="300"/>
      <c r="F112" s="424"/>
      <c r="G112" s="435"/>
      <c r="H112" s="528" t="s">
        <v>521</v>
      </c>
      <c r="I112" s="443">
        <f>SUM(J112)-SUM(H112)</f>
        <v>0</v>
      </c>
      <c r="J112" s="528" t="s">
        <v>521</v>
      </c>
      <c r="K112" s="774" t="s">
        <v>581</v>
      </c>
      <c r="L112" s="769"/>
      <c r="M112" s="769"/>
      <c r="N112" s="607"/>
      <c r="O112" s="304" t="s">
        <v>89</v>
      </c>
      <c r="P112" s="134" t="s">
        <v>777</v>
      </c>
      <c r="Q112" s="217" t="s">
        <v>440</v>
      </c>
      <c r="R112" s="218">
        <v>1</v>
      </c>
      <c r="S112" s="260">
        <f>R113</f>
        <v>0.75</v>
      </c>
    </row>
    <row r="113" spans="1:24" ht="15.75" thickBot="1" x14ac:dyDescent="0.3">
      <c r="C113" s="4"/>
      <c r="D113" s="4"/>
      <c r="E113" s="300"/>
      <c r="F113" s="427"/>
      <c r="G113" s="436"/>
      <c r="H113" s="519" t="s">
        <v>521</v>
      </c>
      <c r="I113" s="456">
        <f>SUM(J113)-SUM(H113)</f>
        <v>0</v>
      </c>
      <c r="J113" s="519" t="s">
        <v>521</v>
      </c>
      <c r="K113" s="775" t="s">
        <v>582</v>
      </c>
      <c r="L113" s="772"/>
      <c r="M113" s="772"/>
      <c r="N113" s="773"/>
      <c r="O113" s="304" t="s">
        <v>89</v>
      </c>
      <c r="P113" s="135" t="str">
        <f>HYPERLINK(_TS_&amp;"#"&amp;SUBSTITUTE(P112,".","_"),"Open")</f>
        <v>Open</v>
      </c>
      <c r="Q113" s="217" t="s">
        <v>441</v>
      </c>
      <c r="R113" s="227">
        <v>0.75</v>
      </c>
      <c r="S113" s="229">
        <v>1</v>
      </c>
    </row>
    <row r="114" spans="1:24" ht="5.25" customHeight="1" x14ac:dyDescent="0.25">
      <c r="C114" s="4"/>
      <c r="D114" s="4"/>
      <c r="E114" s="300"/>
      <c r="F114" s="4"/>
      <c r="O114" s="304" t="s">
        <v>89</v>
      </c>
    </row>
    <row r="115" spans="1:24" ht="15.75" thickBot="1" x14ac:dyDescent="0.3">
      <c r="C115" s="181" t="s">
        <v>575</v>
      </c>
      <c r="D115" s="182"/>
      <c r="E115" s="300"/>
      <c r="F115" s="695" t="s">
        <v>548</v>
      </c>
      <c r="G115" s="695" t="s">
        <v>549</v>
      </c>
      <c r="H115" s="695" t="s">
        <v>550</v>
      </c>
      <c r="I115" s="695" t="s">
        <v>551</v>
      </c>
      <c r="J115" s="695" t="s">
        <v>552</v>
      </c>
      <c r="K115" s="165" t="s">
        <v>648</v>
      </c>
      <c r="L115" s="166"/>
      <c r="M115" s="166"/>
      <c r="N115" s="167"/>
      <c r="O115" s="304" t="s">
        <v>89</v>
      </c>
    </row>
    <row r="116" spans="1:24" ht="15.75" thickBot="1" x14ac:dyDescent="0.3">
      <c r="A116" s="134" t="s">
        <v>846</v>
      </c>
      <c r="B116" s="135" t="str">
        <f>HYPERLINK(_TS_&amp;"#"&amp;SUBSTITUTE(A116,".","_"),"Open")</f>
        <v>Open</v>
      </c>
      <c r="C116" s="651" t="s">
        <v>566</v>
      </c>
      <c r="D116" s="450">
        <f>MIN(30%*SUM($H$77),MAX(SUM(D117),SUM(D118)))+25%*SUM(D122)</f>
        <v>0</v>
      </c>
      <c r="E116" s="300"/>
      <c r="F116" s="453">
        <f>SUM(H117:H123)</f>
        <v>0</v>
      </c>
      <c r="G116" s="453">
        <f>SUM(H116)-SUM(F116)</f>
        <v>0</v>
      </c>
      <c r="H116" s="448">
        <f>SQRT(SUMPRODUCT(H117:H123,MMULT(CorrLife,H117:H123*1)))</f>
        <v>0</v>
      </c>
      <c r="I116" s="448">
        <f>SUM(H116)-SUM(J116)</f>
        <v>0</v>
      </c>
      <c r="J116" s="448">
        <f>SQRT(SUMPRODUCT(J117:J123,MMULT(CorrLife,J117:J123*1)))</f>
        <v>0</v>
      </c>
      <c r="K116" s="776" t="s">
        <v>567</v>
      </c>
      <c r="L116" s="777"/>
      <c r="M116" s="777"/>
      <c r="N116" s="778"/>
      <c r="O116" s="304" t="s">
        <v>89</v>
      </c>
      <c r="P116" s="213" t="s">
        <v>145</v>
      </c>
      <c r="Q116" s="214"/>
      <c r="R116" s="215" t="s">
        <v>61</v>
      </c>
      <c r="S116" s="215" t="s">
        <v>62</v>
      </c>
      <c r="T116" s="215" t="s">
        <v>146</v>
      </c>
      <c r="U116" s="215" t="s">
        <v>63</v>
      </c>
      <c r="V116" s="215" t="s">
        <v>147</v>
      </c>
      <c r="W116" s="215" t="s">
        <v>65</v>
      </c>
      <c r="X116" s="215" t="s">
        <v>66</v>
      </c>
    </row>
    <row r="117" spans="1:24" ht="15.75" thickBot="1" x14ac:dyDescent="0.3">
      <c r="C117" s="651" t="s">
        <v>202</v>
      </c>
      <c r="D117" s="387">
        <f>SUM('Shared-2013'!D84)</f>
        <v>0</v>
      </c>
      <c r="E117" s="300"/>
      <c r="F117" s="424"/>
      <c r="G117" s="435"/>
      <c r="H117" s="465">
        <f>SUM(J166)</f>
        <v>0</v>
      </c>
      <c r="I117" s="444">
        <f t="shared" ref="I117:I123" si="3">SUM(J117)-SUM(H117)</f>
        <v>0</v>
      </c>
      <c r="J117" s="465">
        <f>SUM(L166)</f>
        <v>0</v>
      </c>
      <c r="K117" s="774" t="s">
        <v>576</v>
      </c>
      <c r="L117" s="769"/>
      <c r="M117" s="769"/>
      <c r="N117" s="607"/>
      <c r="O117" s="304" t="s">
        <v>89</v>
      </c>
      <c r="P117" s="134" t="s">
        <v>612</v>
      </c>
      <c r="Q117" s="217" t="s">
        <v>61</v>
      </c>
      <c r="R117" s="218">
        <v>1</v>
      </c>
      <c r="S117" s="219">
        <f>R118</f>
        <v>-0.25</v>
      </c>
      <c r="T117" s="219">
        <f>R119</f>
        <v>0.25</v>
      </c>
      <c r="U117" s="219">
        <f>R120</f>
        <v>0</v>
      </c>
      <c r="V117" s="220">
        <f>R121</f>
        <v>0.25</v>
      </c>
      <c r="W117" s="220">
        <f>R122</f>
        <v>0</v>
      </c>
      <c r="X117" s="221">
        <f>R123</f>
        <v>0.25</v>
      </c>
    </row>
    <row r="118" spans="1:24" ht="15.75" thickBot="1" x14ac:dyDescent="0.3">
      <c r="C118" s="651" t="s">
        <v>579</v>
      </c>
      <c r="D118" s="450">
        <f>0.45%*MAX(0,SUM(D119)-SUM(D120))+3%*MAX(0,SUM(D121))</f>
        <v>0</v>
      </c>
      <c r="E118" s="300"/>
      <c r="F118" s="424"/>
      <c r="G118" s="435"/>
      <c r="H118" s="465">
        <f>SUM(J167)</f>
        <v>0</v>
      </c>
      <c r="I118" s="444">
        <f t="shared" si="3"/>
        <v>0</v>
      </c>
      <c r="J118" s="465">
        <f>SUM(L167)</f>
        <v>0</v>
      </c>
      <c r="K118" s="754" t="s">
        <v>577</v>
      </c>
      <c r="L118" s="734"/>
      <c r="M118" s="734"/>
      <c r="N118" s="770"/>
      <c r="O118" s="304" t="s">
        <v>89</v>
      </c>
      <c r="P118" s="135" t="str">
        <f>HYPERLINK(_TS_&amp;"#"&amp;SUBSTITUTE(P117,".","_"),"Open")</f>
        <v>Open</v>
      </c>
      <c r="Q118" s="217" t="s">
        <v>62</v>
      </c>
      <c r="R118" s="222">
        <v>-0.25</v>
      </c>
      <c r="S118" s="223">
        <v>1</v>
      </c>
      <c r="T118" s="224">
        <f>S119</f>
        <v>0</v>
      </c>
      <c r="U118" s="224">
        <f>S120</f>
        <v>0.25</v>
      </c>
      <c r="V118" s="224">
        <f>S121</f>
        <v>0.25</v>
      </c>
      <c r="W118" s="224">
        <f>S122</f>
        <v>0.25</v>
      </c>
      <c r="X118" s="225">
        <f>S123</f>
        <v>0</v>
      </c>
    </row>
    <row r="119" spans="1:24" ht="15.75" thickBot="1" x14ac:dyDescent="0.3">
      <c r="C119" s="779" t="s">
        <v>629</v>
      </c>
      <c r="D119" s="514" t="s">
        <v>521</v>
      </c>
      <c r="E119" s="300"/>
      <c r="F119" s="424"/>
      <c r="G119" s="435"/>
      <c r="H119" s="465">
        <f>SUM(J168)</f>
        <v>0</v>
      </c>
      <c r="I119" s="444">
        <f t="shared" si="3"/>
        <v>0</v>
      </c>
      <c r="J119" s="465">
        <f>SUM(L168)</f>
        <v>0</v>
      </c>
      <c r="K119" s="754" t="s">
        <v>578</v>
      </c>
      <c r="L119" s="734"/>
      <c r="M119" s="734"/>
      <c r="N119" s="770"/>
      <c r="O119" s="304" t="s">
        <v>89</v>
      </c>
      <c r="P119" s="216"/>
      <c r="Q119" s="217" t="s">
        <v>146</v>
      </c>
      <c r="R119" s="222">
        <v>0.25</v>
      </c>
      <c r="S119" s="223">
        <v>0</v>
      </c>
      <c r="T119" s="223">
        <v>1</v>
      </c>
      <c r="U119" s="224">
        <f>T120</f>
        <v>0</v>
      </c>
      <c r="V119" s="224">
        <f>T121</f>
        <v>0.5</v>
      </c>
      <c r="W119" s="224">
        <f>T122</f>
        <v>0</v>
      </c>
      <c r="X119" s="225">
        <f>U123</f>
        <v>0.25</v>
      </c>
    </row>
    <row r="120" spans="1:24" ht="15.75" thickBot="1" x14ac:dyDescent="0.3">
      <c r="C120" s="779" t="s">
        <v>630</v>
      </c>
      <c r="D120" s="514" t="s">
        <v>521</v>
      </c>
      <c r="E120" s="300"/>
      <c r="F120" s="424"/>
      <c r="G120" s="435"/>
      <c r="H120" s="465">
        <f>SUM(J169)</f>
        <v>0</v>
      </c>
      <c r="I120" s="444">
        <f t="shared" si="3"/>
        <v>0</v>
      </c>
      <c r="J120" s="465">
        <f>SUM(L169)</f>
        <v>0</v>
      </c>
      <c r="K120" s="754" t="s">
        <v>63</v>
      </c>
      <c r="L120" s="734"/>
      <c r="M120" s="734"/>
      <c r="N120" s="770"/>
      <c r="O120" s="304" t="s">
        <v>89</v>
      </c>
      <c r="P120" s="216"/>
      <c r="Q120" s="217" t="s">
        <v>63</v>
      </c>
      <c r="R120" s="222">
        <v>0</v>
      </c>
      <c r="S120" s="223">
        <v>0.25</v>
      </c>
      <c r="T120" s="223">
        <v>0</v>
      </c>
      <c r="U120" s="223">
        <v>1</v>
      </c>
      <c r="V120" s="224">
        <f>U121</f>
        <v>0.5</v>
      </c>
      <c r="W120" s="224">
        <f>U122</f>
        <v>0</v>
      </c>
      <c r="X120" s="225">
        <f>U123</f>
        <v>0.25</v>
      </c>
    </row>
    <row r="121" spans="1:24" ht="15.75" thickBot="1" x14ac:dyDescent="0.3">
      <c r="C121" s="779" t="s">
        <v>631</v>
      </c>
      <c r="D121" s="519" t="s">
        <v>521</v>
      </c>
      <c r="E121" s="300"/>
      <c r="F121" s="424"/>
      <c r="G121" s="435"/>
      <c r="H121" s="465">
        <f>SUM(J174)</f>
        <v>0</v>
      </c>
      <c r="I121" s="444">
        <f t="shared" si="3"/>
        <v>0</v>
      </c>
      <c r="J121" s="465">
        <f>SUM(L174)</f>
        <v>0</v>
      </c>
      <c r="K121" s="754" t="s">
        <v>147</v>
      </c>
      <c r="L121" s="734"/>
      <c r="M121" s="734"/>
      <c r="N121" s="770"/>
      <c r="O121" s="304" t="s">
        <v>89</v>
      </c>
      <c r="P121" s="216"/>
      <c r="Q121" s="217" t="s">
        <v>147</v>
      </c>
      <c r="R121" s="222">
        <v>0.25</v>
      </c>
      <c r="S121" s="223">
        <v>0.25</v>
      </c>
      <c r="T121" s="223">
        <v>0.5</v>
      </c>
      <c r="U121" s="223">
        <v>0.5</v>
      </c>
      <c r="V121" s="223">
        <v>1</v>
      </c>
      <c r="W121" s="224">
        <f>V122</f>
        <v>0.5</v>
      </c>
      <c r="X121" s="225">
        <f>V123</f>
        <v>0.25</v>
      </c>
    </row>
    <row r="122" spans="1:24" ht="15.75" thickBot="1" x14ac:dyDescent="0.3">
      <c r="C122" s="671" t="s">
        <v>651</v>
      </c>
      <c r="D122" s="388">
        <f>SUM('Shared-2013'!D91)</f>
        <v>0</v>
      </c>
      <c r="E122" s="300"/>
      <c r="F122" s="424"/>
      <c r="G122" s="435"/>
      <c r="H122" s="465">
        <f>SUM(J175)</f>
        <v>0</v>
      </c>
      <c r="I122" s="444">
        <f t="shared" si="3"/>
        <v>0</v>
      </c>
      <c r="J122" s="465">
        <f>SUM(L175)</f>
        <v>0</v>
      </c>
      <c r="K122" s="754" t="s">
        <v>65</v>
      </c>
      <c r="L122" s="734"/>
      <c r="M122" s="734"/>
      <c r="N122" s="770"/>
      <c r="O122" s="304" t="s">
        <v>89</v>
      </c>
      <c r="P122" s="216"/>
      <c r="Q122" s="217" t="s">
        <v>65</v>
      </c>
      <c r="R122" s="222">
        <v>0</v>
      </c>
      <c r="S122" s="223">
        <v>0.25</v>
      </c>
      <c r="T122" s="223">
        <v>0</v>
      </c>
      <c r="U122" s="223">
        <v>0</v>
      </c>
      <c r="V122" s="223">
        <v>0.5</v>
      </c>
      <c r="W122" s="223">
        <v>1</v>
      </c>
      <c r="X122" s="226">
        <f>W123</f>
        <v>0</v>
      </c>
    </row>
    <row r="123" spans="1:24" ht="15.75" thickBot="1" x14ac:dyDescent="0.3">
      <c r="C123" s="4"/>
      <c r="D123" s="4"/>
      <c r="E123" s="300"/>
      <c r="F123" s="427"/>
      <c r="G123" s="436"/>
      <c r="H123" s="473">
        <f>SUM(J176)</f>
        <v>0</v>
      </c>
      <c r="I123" s="456">
        <f t="shared" si="3"/>
        <v>0</v>
      </c>
      <c r="J123" s="473">
        <f>SUM(L176)</f>
        <v>0</v>
      </c>
      <c r="K123" s="775" t="s">
        <v>66</v>
      </c>
      <c r="L123" s="772"/>
      <c r="M123" s="772"/>
      <c r="N123" s="773"/>
      <c r="O123" s="304" t="s">
        <v>89</v>
      </c>
      <c r="P123" s="216"/>
      <c r="Q123" s="217" t="s">
        <v>66</v>
      </c>
      <c r="R123" s="227">
        <v>0.25</v>
      </c>
      <c r="S123" s="228">
        <v>0</v>
      </c>
      <c r="T123" s="228">
        <v>0.25</v>
      </c>
      <c r="U123" s="228">
        <v>0.25</v>
      </c>
      <c r="V123" s="228">
        <v>0.25</v>
      </c>
      <c r="W123" s="228">
        <v>0</v>
      </c>
      <c r="X123" s="229">
        <v>1</v>
      </c>
    </row>
    <row r="124" spans="1:24" ht="6" customHeight="1" x14ac:dyDescent="0.25">
      <c r="C124" s="4"/>
      <c r="D124" s="4"/>
      <c r="E124" s="300"/>
      <c r="F124" s="4"/>
      <c r="O124" s="304" t="s">
        <v>89</v>
      </c>
    </row>
    <row r="125" spans="1:24" ht="15.75" thickBot="1" x14ac:dyDescent="0.3">
      <c r="C125" s="181" t="s">
        <v>650</v>
      </c>
      <c r="D125" s="212"/>
      <c r="E125" s="300"/>
      <c r="F125" s="695" t="s">
        <v>548</v>
      </c>
      <c r="G125" s="695" t="s">
        <v>549</v>
      </c>
      <c r="H125" s="695" t="s">
        <v>550</v>
      </c>
      <c r="I125" s="695" t="s">
        <v>551</v>
      </c>
      <c r="J125" s="695" t="s">
        <v>552</v>
      </c>
      <c r="K125" s="165" t="s">
        <v>649</v>
      </c>
      <c r="L125" s="166"/>
      <c r="M125" s="166"/>
      <c r="N125" s="167"/>
      <c r="O125" s="304" t="s">
        <v>89</v>
      </c>
    </row>
    <row r="126" spans="1:24" ht="15.75" thickBot="1" x14ac:dyDescent="0.3">
      <c r="C126" s="651" t="s">
        <v>566</v>
      </c>
      <c r="D126" s="450">
        <f>SQRT(SUMPRODUCT(D127:D129,MMULT($R$132:$T$134,D127:D129*1)))</f>
        <v>0</v>
      </c>
      <c r="E126" s="300"/>
      <c r="F126" s="453"/>
      <c r="G126" s="453">
        <f>SUM(H126)-SUM(F126)</f>
        <v>0</v>
      </c>
      <c r="H126" s="448">
        <f>SQRT(SUMPRODUCT(H127:H129,MMULT(CorrHealth,H127:H129*1)))</f>
        <v>0</v>
      </c>
      <c r="I126" s="448">
        <f>SUM(H126)-SUM(J126)</f>
        <v>0</v>
      </c>
      <c r="J126" s="448">
        <f>SQRT(SUMPRODUCT(J127:J129,MMULT(CorrHealth,J127:J129*1)))</f>
        <v>0</v>
      </c>
      <c r="K126" s="776" t="s">
        <v>567</v>
      </c>
      <c r="L126" s="777"/>
      <c r="M126" s="777"/>
      <c r="N126" s="778"/>
      <c r="O126" s="304" t="s">
        <v>89</v>
      </c>
      <c r="P126" s="213" t="s">
        <v>151</v>
      </c>
      <c r="Q126" s="214"/>
      <c r="R126" s="215" t="s">
        <v>152</v>
      </c>
      <c r="S126" s="215" t="s">
        <v>153</v>
      </c>
      <c r="T126" s="215" t="s">
        <v>154</v>
      </c>
    </row>
    <row r="127" spans="1:24" ht="15.75" thickBot="1" x14ac:dyDescent="0.3">
      <c r="C127" s="780" t="s">
        <v>615</v>
      </c>
      <c r="D127" s="444">
        <f>SUM(D234)</f>
        <v>0</v>
      </c>
      <c r="E127" s="300"/>
      <c r="F127" s="424"/>
      <c r="G127" s="435"/>
      <c r="H127" s="465">
        <f>SUM(D182)</f>
        <v>0</v>
      </c>
      <c r="I127" s="444">
        <f>SUM(J127)-SUM(H127)</f>
        <v>0</v>
      </c>
      <c r="J127" s="465">
        <f>H127</f>
        <v>0</v>
      </c>
      <c r="K127" s="774" t="s">
        <v>618</v>
      </c>
      <c r="L127" s="734"/>
      <c r="M127" s="734"/>
      <c r="N127" s="770"/>
      <c r="O127" s="304" t="s">
        <v>89</v>
      </c>
      <c r="P127" s="134" t="s">
        <v>612</v>
      </c>
      <c r="Q127" s="217" t="s">
        <v>152</v>
      </c>
      <c r="R127" s="218">
        <v>1</v>
      </c>
      <c r="S127" s="219">
        <f>R128</f>
        <v>0.5</v>
      </c>
      <c r="T127" s="260">
        <f>R129</f>
        <v>0.25</v>
      </c>
    </row>
    <row r="128" spans="1:24" ht="15.75" thickBot="1" x14ac:dyDescent="0.3">
      <c r="C128" s="780" t="s">
        <v>1000</v>
      </c>
      <c r="D128" s="444">
        <f>SUM(D255)</f>
        <v>0</v>
      </c>
      <c r="E128" s="300"/>
      <c r="F128" s="424"/>
      <c r="G128" s="435"/>
      <c r="H128" s="465">
        <f>SUM(H182)</f>
        <v>0</v>
      </c>
      <c r="I128" s="444">
        <f>SUM(J128)-SUM(H128)</f>
        <v>0</v>
      </c>
      <c r="J128" s="465">
        <f>SUM(J182)</f>
        <v>0</v>
      </c>
      <c r="K128" s="754" t="s">
        <v>152</v>
      </c>
      <c r="L128" s="734"/>
      <c r="M128" s="734"/>
      <c r="N128" s="770"/>
      <c r="O128" s="304" t="s">
        <v>89</v>
      </c>
      <c r="P128" s="135" t="str">
        <f>HYPERLINK(_TS_&amp;"#"&amp;SUBSTITUTE(P127,".","_"),"Open")</f>
        <v>Open</v>
      </c>
      <c r="Q128" s="217" t="s">
        <v>153</v>
      </c>
      <c r="R128" s="222">
        <v>0.5</v>
      </c>
      <c r="S128" s="223">
        <v>1</v>
      </c>
      <c r="T128" s="225">
        <f>S129</f>
        <v>0.25</v>
      </c>
    </row>
    <row r="129" spans="1:20" ht="15.75" thickBot="1" x14ac:dyDescent="0.3">
      <c r="C129" s="781" t="s">
        <v>66</v>
      </c>
      <c r="D129" s="389">
        <f>SUM('Shared-2013'!D94)</f>
        <v>0</v>
      </c>
      <c r="E129" s="300"/>
      <c r="F129" s="427"/>
      <c r="G129" s="436"/>
      <c r="H129" s="473">
        <f>SUM(H191)</f>
        <v>0</v>
      </c>
      <c r="I129" s="456">
        <f>SUM(J129)-SUM(H129)</f>
        <v>0</v>
      </c>
      <c r="J129" s="473">
        <f>SUM(J191)</f>
        <v>0</v>
      </c>
      <c r="K129" s="775" t="s">
        <v>154</v>
      </c>
      <c r="L129" s="772"/>
      <c r="M129" s="772"/>
      <c r="N129" s="773"/>
      <c r="O129" s="304" t="s">
        <v>89</v>
      </c>
      <c r="Q129" s="217" t="s">
        <v>154</v>
      </c>
      <c r="R129" s="227">
        <v>0.25</v>
      </c>
      <c r="S129" s="228">
        <v>0.25</v>
      </c>
      <c r="T129" s="229">
        <v>1</v>
      </c>
    </row>
    <row r="130" spans="1:20" ht="7.5" customHeight="1" thickBot="1" x14ac:dyDescent="0.3">
      <c r="C130" s="4"/>
      <c r="D130" s="4"/>
      <c r="E130" s="4"/>
      <c r="F130" s="4"/>
      <c r="O130" s="304" t="s">
        <v>89</v>
      </c>
    </row>
    <row r="131" spans="1:20" ht="15.75" thickBot="1" x14ac:dyDescent="0.3">
      <c r="C131" s="1043" t="s">
        <v>1044</v>
      </c>
      <c r="D131" s="1111" t="str">
        <f>$D$63</f>
        <v>Alap</v>
      </c>
      <c r="E131" s="300"/>
      <c r="F131" s="300"/>
      <c r="G131" s="300"/>
      <c r="H131" s="300"/>
      <c r="I131" s="300"/>
      <c r="J131" s="300"/>
      <c r="K131" s="300"/>
      <c r="L131" s="300"/>
      <c r="M131" s="300"/>
      <c r="N131" s="300"/>
      <c r="O131" s="304" t="s">
        <v>89</v>
      </c>
      <c r="P131" s="213" t="s">
        <v>160</v>
      </c>
      <c r="Q131" s="214"/>
      <c r="R131" s="215" t="s">
        <v>161</v>
      </c>
      <c r="S131" s="215" t="s">
        <v>162</v>
      </c>
      <c r="T131" s="215" t="s">
        <v>163</v>
      </c>
    </row>
    <row r="132" spans="1:20" ht="15.75" thickBot="1" x14ac:dyDescent="0.3">
      <c r="C132" s="1045"/>
      <c r="D132" s="1112"/>
      <c r="E132" s="300"/>
      <c r="F132" s="300"/>
      <c r="G132" s="300"/>
      <c r="J132" s="300"/>
      <c r="K132" s="300"/>
      <c r="L132" s="281" t="s">
        <v>767</v>
      </c>
      <c r="N132" s="300"/>
      <c r="O132" s="304" t="s">
        <v>89</v>
      </c>
      <c r="P132" s="134" t="s">
        <v>840</v>
      </c>
      <c r="Q132" s="217" t="s">
        <v>161</v>
      </c>
      <c r="R132" s="218">
        <v>1</v>
      </c>
      <c r="S132" s="219">
        <f>R133</f>
        <v>0</v>
      </c>
      <c r="T132" s="260">
        <f>R134</f>
        <v>0.25</v>
      </c>
    </row>
    <row r="133" spans="1:20" ht="15.75" thickBot="1" x14ac:dyDescent="0.3">
      <c r="C133" s="203"/>
      <c r="D133" s="204"/>
      <c r="E133" s="300"/>
      <c r="H133" s="283" t="s">
        <v>768</v>
      </c>
      <c r="I133" s="284" t="str">
        <f>HYPERLINK(_TS_&amp;"#"&amp;SUBSTITUTE(H133,".","_"),"Open")</f>
        <v>Open</v>
      </c>
      <c r="J133" s="300"/>
      <c r="K133" s="300"/>
      <c r="L133" s="282" t="str">
        <f>HYPERLINK(_TS_&amp;"#"&amp;SUBSTITUTE(L132,".","_"),"Open")</f>
        <v>Open</v>
      </c>
      <c r="M133" s="300"/>
      <c r="N133" s="300"/>
      <c r="O133" s="304" t="s">
        <v>89</v>
      </c>
      <c r="P133" s="135" t="str">
        <f>HYPERLINK(_TS_&amp;"#"&amp;SUBSTITUTE(P132,".","_"),"Open")</f>
        <v>Open</v>
      </c>
      <c r="Q133" s="217" t="s">
        <v>162</v>
      </c>
      <c r="R133" s="222">
        <v>0</v>
      </c>
      <c r="S133" s="223">
        <v>1</v>
      </c>
      <c r="T133" s="225">
        <f>S134</f>
        <v>0</v>
      </c>
    </row>
    <row r="134" spans="1:20" ht="15.75" thickBot="1" x14ac:dyDescent="0.3">
      <c r="C134" s="1149" t="s">
        <v>736</v>
      </c>
      <c r="D134" s="1150"/>
      <c r="E134" s="157" t="s">
        <v>89</v>
      </c>
      <c r="F134" s="782" t="s">
        <v>735</v>
      </c>
      <c r="G134" s="691"/>
      <c r="H134" s="1151" t="s">
        <v>584</v>
      </c>
      <c r="I134" s="1152"/>
      <c r="J134" s="783"/>
      <c r="K134" s="784" t="s">
        <v>585</v>
      </c>
      <c r="L134" s="785"/>
      <c r="M134" s="1151" t="s">
        <v>586</v>
      </c>
      <c r="N134" s="1153"/>
      <c r="O134" s="304" t="s">
        <v>89</v>
      </c>
      <c r="Q134" s="217" t="s">
        <v>163</v>
      </c>
      <c r="R134" s="227">
        <v>0.25</v>
      </c>
      <c r="S134" s="228">
        <v>0</v>
      </c>
      <c r="T134" s="229">
        <v>1</v>
      </c>
    </row>
    <row r="135" spans="1:20" x14ac:dyDescent="0.25">
      <c r="C135" s="1154" t="s">
        <v>587</v>
      </c>
      <c r="D135" s="1155"/>
      <c r="E135" s="155" t="s">
        <v>89</v>
      </c>
      <c r="F135" s="695" t="s">
        <v>0</v>
      </c>
      <c r="G135" s="695" t="s">
        <v>20</v>
      </c>
      <c r="H135" s="695" t="s">
        <v>0</v>
      </c>
      <c r="I135" s="695" t="s">
        <v>20</v>
      </c>
      <c r="J135" s="695" t="s">
        <v>550</v>
      </c>
      <c r="K135" s="695" t="s">
        <v>551</v>
      </c>
      <c r="L135" s="695" t="s">
        <v>552</v>
      </c>
      <c r="M135" s="695" t="s">
        <v>0</v>
      </c>
      <c r="N135" s="695" t="s">
        <v>20</v>
      </c>
      <c r="O135" s="304" t="s">
        <v>89</v>
      </c>
    </row>
    <row r="136" spans="1:20" x14ac:dyDescent="0.25">
      <c r="C136" s="1156" t="s">
        <v>588</v>
      </c>
      <c r="D136" s="1157"/>
      <c r="E136" s="155" t="s">
        <v>89</v>
      </c>
      <c r="F136" s="437"/>
      <c r="G136" s="432"/>
      <c r="H136" s="437"/>
      <c r="I136" s="432"/>
      <c r="J136" s="453">
        <f>IF($J137="Up",J138,J139)</f>
        <v>0</v>
      </c>
      <c r="K136" s="448">
        <f t="shared" ref="K136:K159" si="4">SUM(L136)-SUM(J136)</f>
        <v>0</v>
      </c>
      <c r="L136" s="451">
        <f>IF($J137="Up",L138,L139)</f>
        <v>0</v>
      </c>
      <c r="M136" s="437"/>
      <c r="N136" s="432"/>
      <c r="O136" s="304" t="s">
        <v>89</v>
      </c>
    </row>
    <row r="137" spans="1:20" x14ac:dyDescent="0.25">
      <c r="A137" s="134" t="s">
        <v>832</v>
      </c>
      <c r="B137" s="135" t="str">
        <f t="shared" ref="B137:B143" si="5">HYPERLINK(_TS_&amp;"#"&amp;SUBSTITUTE(A137,".","_"),"Open")</f>
        <v>Open</v>
      </c>
      <c r="C137" s="1158" t="s">
        <v>833</v>
      </c>
      <c r="D137" s="1159"/>
      <c r="E137" s="155" t="s">
        <v>89</v>
      </c>
      <c r="F137" s="435"/>
      <c r="G137" s="425"/>
      <c r="H137" s="435"/>
      <c r="I137" s="425"/>
      <c r="J137" s="1160" t="str">
        <f>IF(SUM(L138)&gt;SUM(L139),"Up","Down")</f>
        <v>Down</v>
      </c>
      <c r="K137" s="1161"/>
      <c r="L137" s="1162"/>
      <c r="M137" s="435"/>
      <c r="N137" s="425"/>
      <c r="O137" s="304" t="s">
        <v>89</v>
      </c>
    </row>
    <row r="138" spans="1:20" x14ac:dyDescent="0.25">
      <c r="A138" s="134" t="s">
        <v>766</v>
      </c>
      <c r="B138" s="135" t="str">
        <f t="shared" si="5"/>
        <v>Open</v>
      </c>
      <c r="C138" s="1163" t="s">
        <v>1122</v>
      </c>
      <c r="D138" s="1164"/>
      <c r="E138" s="155" t="s">
        <v>89</v>
      </c>
      <c r="F138" s="523" t="s">
        <v>521</v>
      </c>
      <c r="G138" s="524" t="s">
        <v>521</v>
      </c>
      <c r="H138" s="523" t="s">
        <v>521</v>
      </c>
      <c r="I138" s="524" t="s">
        <v>521</v>
      </c>
      <c r="J138" s="465">
        <f>IF(AND(F138&lt;&gt;"-",G138&lt;&gt;"-",H138&lt;&gt;"-",I138&lt;&gt;"-"),MAX((SUM(F138)-SUM(G138))-(SUM(H138)-SUM(I138)),0),0)</f>
        <v>0</v>
      </c>
      <c r="K138" s="444">
        <f t="shared" si="4"/>
        <v>0</v>
      </c>
      <c r="L138" s="444">
        <f>IF(AND(F138&lt;&gt;"-",G138&lt;&gt;"-",M138&lt;&gt;"-",N138&lt;&gt;"-"),MAX((SUM(F138)-SUM(G138))-(SUM(M138)-SUM(N138)),0),0)</f>
        <v>0</v>
      </c>
      <c r="M138" s="523" t="s">
        <v>521</v>
      </c>
      <c r="N138" s="524" t="s">
        <v>521</v>
      </c>
      <c r="O138" s="304" t="s">
        <v>89</v>
      </c>
    </row>
    <row r="139" spans="1:20" x14ac:dyDescent="0.25">
      <c r="A139" s="134" t="s">
        <v>766</v>
      </c>
      <c r="B139" s="135" t="str">
        <f t="shared" si="5"/>
        <v>Open</v>
      </c>
      <c r="C139" s="1165" t="s">
        <v>1123</v>
      </c>
      <c r="D139" s="1166"/>
      <c r="E139" s="155" t="s">
        <v>89</v>
      </c>
      <c r="F139" s="523" t="s">
        <v>521</v>
      </c>
      <c r="G139" s="524" t="s">
        <v>521</v>
      </c>
      <c r="H139" s="523" t="s">
        <v>521</v>
      </c>
      <c r="I139" s="524" t="s">
        <v>521</v>
      </c>
      <c r="J139" s="465">
        <f>IF(AND(F139&lt;&gt;"-",G139&lt;&gt;"-",H139&lt;&gt;"-",I139&lt;&gt;"-"),MAX((SUM(F139)-SUM(G139))-(SUM(H139)-SUM(I139)),0),0)</f>
        <v>0</v>
      </c>
      <c r="K139" s="444">
        <f t="shared" si="4"/>
        <v>0</v>
      </c>
      <c r="L139" s="444">
        <f>IF(AND(F139&lt;&gt;"-",G139&lt;&gt;"-",M139&lt;&gt;"-",N139&lt;&gt;"-"),MAX((SUM(F139)-SUM(G139))-(SUM(M139)-SUM(N139)),0),0)</f>
        <v>0</v>
      </c>
      <c r="M139" s="523" t="s">
        <v>521</v>
      </c>
      <c r="N139" s="524" t="s">
        <v>521</v>
      </c>
      <c r="O139" s="304" t="s">
        <v>89</v>
      </c>
    </row>
    <row r="140" spans="1:20" ht="15.75" thickBot="1" x14ac:dyDescent="0.3">
      <c r="A140" s="134"/>
      <c r="B140" s="135"/>
      <c r="C140" s="1156" t="s">
        <v>589</v>
      </c>
      <c r="D140" s="1157"/>
      <c r="E140" s="155" t="s">
        <v>89</v>
      </c>
      <c r="F140" s="437"/>
      <c r="G140" s="432"/>
      <c r="H140" s="437"/>
      <c r="I140" s="432"/>
      <c r="J140" s="475">
        <f>SUM(J141,J144)</f>
        <v>0</v>
      </c>
      <c r="K140" s="448">
        <f t="shared" si="4"/>
        <v>0</v>
      </c>
      <c r="L140" s="448">
        <f>SUM(L141,L144)</f>
        <v>0</v>
      </c>
      <c r="M140" s="437"/>
      <c r="N140" s="432"/>
      <c r="O140" s="304" t="s">
        <v>89</v>
      </c>
    </row>
    <row r="141" spans="1:20" ht="15.75" thickBot="1" x14ac:dyDescent="0.3">
      <c r="A141" s="134" t="s">
        <v>772</v>
      </c>
      <c r="B141" s="135" t="str">
        <f t="shared" si="5"/>
        <v>Open</v>
      </c>
      <c r="C141" s="1167" t="s">
        <v>834</v>
      </c>
      <c r="D141" s="1168"/>
      <c r="E141" s="155" t="s">
        <v>89</v>
      </c>
      <c r="F141" s="431"/>
      <c r="G141" s="432"/>
      <c r="H141" s="437"/>
      <c r="I141" s="432"/>
      <c r="J141" s="453">
        <f>SQRT(SUMPRODUCT(J142:J143,MMULT($R$142:$S$143,J142:J143*1)))</f>
        <v>0</v>
      </c>
      <c r="K141" s="448">
        <f t="shared" si="4"/>
        <v>0</v>
      </c>
      <c r="L141" s="453">
        <f>SQRT(SUMPRODUCT(L142:L143,MMULT($R$142:$S$143,L142:L143*1)))</f>
        <v>0</v>
      </c>
      <c r="M141" s="431"/>
      <c r="N141" s="432"/>
      <c r="O141" s="304" t="s">
        <v>89</v>
      </c>
      <c r="P141" s="213" t="s">
        <v>774</v>
      </c>
      <c r="Q141" s="214"/>
      <c r="R141" s="215" t="s">
        <v>440</v>
      </c>
      <c r="S141" s="215" t="s">
        <v>441</v>
      </c>
    </row>
    <row r="142" spans="1:20" ht="15.75" thickBot="1" x14ac:dyDescent="0.3">
      <c r="A142" s="134" t="s">
        <v>771</v>
      </c>
      <c r="B142" s="135" t="str">
        <f t="shared" si="5"/>
        <v>Open</v>
      </c>
      <c r="C142" s="1169" t="s">
        <v>619</v>
      </c>
      <c r="D142" s="1170"/>
      <c r="E142" s="155" t="s">
        <v>89</v>
      </c>
      <c r="F142" s="515" t="s">
        <v>521</v>
      </c>
      <c r="G142" s="524" t="s">
        <v>521</v>
      </c>
      <c r="H142" s="523" t="s">
        <v>521</v>
      </c>
      <c r="I142" s="524" t="s">
        <v>521</v>
      </c>
      <c r="J142" s="465">
        <f>IF(AND(F142&lt;&gt;"-",G142&lt;&gt;"-",H142&lt;&gt;"-",I142&lt;&gt;"-"),MAX((SUM(F142)-SUM(G142))-(SUM(H142)-SUM(I142)),0),0)</f>
        <v>0</v>
      </c>
      <c r="K142" s="444">
        <f t="shared" si="4"/>
        <v>0</v>
      </c>
      <c r="L142" s="447">
        <f>IF(AND(F142&lt;&gt;"-",G142&lt;&gt;"-",M142&lt;&gt;"-",N142&lt;&gt;"-"),MAX((SUM(F142)-SUM(G142))-(SUM(M142)-SUM(N142)),0),0)</f>
        <v>0</v>
      </c>
      <c r="M142" s="515" t="s">
        <v>521</v>
      </c>
      <c r="N142" s="524" t="s">
        <v>521</v>
      </c>
      <c r="O142" s="304" t="s">
        <v>89</v>
      </c>
      <c r="P142" s="134" t="s">
        <v>765</v>
      </c>
      <c r="Q142" s="217" t="s">
        <v>440</v>
      </c>
      <c r="R142" s="218">
        <v>1</v>
      </c>
      <c r="S142" s="260">
        <f>R143</f>
        <v>0.75</v>
      </c>
    </row>
    <row r="143" spans="1:20" ht="15.75" thickBot="1" x14ac:dyDescent="0.3">
      <c r="A143" s="134" t="s">
        <v>771</v>
      </c>
      <c r="B143" s="135" t="str">
        <f t="shared" si="5"/>
        <v>Open</v>
      </c>
      <c r="C143" s="1171" t="s">
        <v>620</v>
      </c>
      <c r="D143" s="1172"/>
      <c r="E143" s="155" t="s">
        <v>89</v>
      </c>
      <c r="F143" s="525" t="s">
        <v>521</v>
      </c>
      <c r="G143" s="527" t="s">
        <v>521</v>
      </c>
      <c r="H143" s="526" t="s">
        <v>521</v>
      </c>
      <c r="I143" s="527" t="s">
        <v>521</v>
      </c>
      <c r="J143" s="465">
        <f>IF(AND(F143&lt;&gt;"-",G143&lt;&gt;"-",H143&lt;&gt;"-",I143&lt;&gt;"-"),MAX((SUM(F143)-SUM(G143))-(SUM(H143)-SUM(I143)),0),0)</f>
        <v>0</v>
      </c>
      <c r="K143" s="444">
        <f t="shared" si="4"/>
        <v>0</v>
      </c>
      <c r="L143" s="447">
        <f>IF(AND(F143&lt;&gt;"-",G143&lt;&gt;"-",M143&lt;&gt;"-",N143&lt;&gt;"-"),MAX((SUM(F143)-SUM(G143))-(SUM(M143)-SUM(N143)),0),0)</f>
        <v>0</v>
      </c>
      <c r="M143" s="525" t="s">
        <v>521</v>
      </c>
      <c r="N143" s="527" t="s">
        <v>521</v>
      </c>
      <c r="O143" s="304" t="s">
        <v>89</v>
      </c>
      <c r="P143" s="135" t="str">
        <f>HYPERLINK(_TS_&amp;"#"&amp;SUBSTITUTE(P142,".","_"),"Open")</f>
        <v>Open</v>
      </c>
      <c r="Q143" s="217" t="s">
        <v>441</v>
      </c>
      <c r="R143" s="227">
        <v>0.75</v>
      </c>
      <c r="S143" s="229">
        <v>1</v>
      </c>
    </row>
    <row r="144" spans="1:20" x14ac:dyDescent="0.25">
      <c r="A144" s="290"/>
      <c r="B144" s="135"/>
      <c r="C144" s="1167" t="s">
        <v>835</v>
      </c>
      <c r="D144" s="1168"/>
      <c r="E144" s="155" t="s">
        <v>89</v>
      </c>
      <c r="F144" s="431"/>
      <c r="G144" s="432"/>
      <c r="H144" s="437"/>
      <c r="I144" s="432"/>
      <c r="J144" s="453">
        <f>SQRT(SUMPRODUCT(J145:J146,MMULT($R$142:$S$143,J145:J146*1)))</f>
        <v>0</v>
      </c>
      <c r="K144" s="448">
        <f>SUM(L144)-SUM(J144)</f>
        <v>0</v>
      </c>
      <c r="L144" s="453">
        <f>SQRT(SUMPRODUCT(L145:L146,MMULT($R$142:$S$143,L145:L146*1)))</f>
        <v>0</v>
      </c>
      <c r="M144" s="431"/>
      <c r="N144" s="432"/>
      <c r="O144" s="304" t="s">
        <v>89</v>
      </c>
      <c r="P144" s="291"/>
      <c r="Q144" s="291"/>
      <c r="R144" s="291"/>
      <c r="S144" s="291"/>
    </row>
    <row r="145" spans="1:19" x14ac:dyDescent="0.25">
      <c r="A145" s="290"/>
      <c r="B145" s="135"/>
      <c r="C145" s="1169" t="s">
        <v>619</v>
      </c>
      <c r="D145" s="1170"/>
      <c r="E145" s="155" t="s">
        <v>89</v>
      </c>
      <c r="F145" s="515" t="s">
        <v>521</v>
      </c>
      <c r="G145" s="524" t="s">
        <v>521</v>
      </c>
      <c r="H145" s="523" t="s">
        <v>521</v>
      </c>
      <c r="I145" s="524" t="s">
        <v>521</v>
      </c>
      <c r="J145" s="465">
        <f>IF(AND(F145&lt;&gt;"-",G145&lt;&gt;"-",H145&lt;&gt;"-",I145&lt;&gt;"-"),MAX((SUM(F145)-SUM(G145))-(SUM(H145)-SUM(I145)),0),0)</f>
        <v>0</v>
      </c>
      <c r="K145" s="444">
        <f>SUM(L145)-SUM(J145)</f>
        <v>0</v>
      </c>
      <c r="L145" s="447">
        <f>IF(AND(F145&lt;&gt;"-",G145&lt;&gt;"-",M145&lt;&gt;"-",N145&lt;&gt;"-"),MAX((SUM(F145)-SUM(G145))-(SUM(M145)-SUM(N145)),0),0)</f>
        <v>0</v>
      </c>
      <c r="M145" s="515" t="s">
        <v>521</v>
      </c>
      <c r="N145" s="524" t="s">
        <v>521</v>
      </c>
      <c r="O145" s="304" t="s">
        <v>89</v>
      </c>
      <c r="P145" s="291"/>
      <c r="Q145" s="291"/>
      <c r="R145" s="291"/>
      <c r="S145" s="291"/>
    </row>
    <row r="146" spans="1:19" x14ac:dyDescent="0.25">
      <c r="A146" s="290"/>
      <c r="B146" s="135"/>
      <c r="C146" s="1171" t="s">
        <v>620</v>
      </c>
      <c r="D146" s="1172"/>
      <c r="E146" s="155" t="s">
        <v>89</v>
      </c>
      <c r="F146" s="525" t="s">
        <v>521</v>
      </c>
      <c r="G146" s="527" t="s">
        <v>521</v>
      </c>
      <c r="H146" s="526" t="s">
        <v>521</v>
      </c>
      <c r="I146" s="527" t="s">
        <v>521</v>
      </c>
      <c r="J146" s="465">
        <f>IF(AND(F146&lt;&gt;"-",G146&lt;&gt;"-",H146&lt;&gt;"-",I146&lt;&gt;"-"),MAX((SUM(F146)-SUM(G146))-(SUM(H146)-SUM(I146)),0),0)</f>
        <v>0</v>
      </c>
      <c r="K146" s="444">
        <f>SUM(L146)-SUM(J146)</f>
        <v>0</v>
      </c>
      <c r="L146" s="447">
        <f>IF(AND(F146&lt;&gt;"-",G146&lt;&gt;"-",M146&lt;&gt;"-",N146&lt;&gt;"-"),MAX((SUM(F146)-SUM(G146))-(SUM(M146)-SUM(N146)),0),0)</f>
        <v>0</v>
      </c>
      <c r="M146" s="525" t="s">
        <v>521</v>
      </c>
      <c r="N146" s="527" t="s">
        <v>521</v>
      </c>
      <c r="O146" s="304" t="s">
        <v>89</v>
      </c>
      <c r="P146" s="291"/>
      <c r="Q146" s="291"/>
      <c r="R146" s="291"/>
      <c r="S146" s="291"/>
    </row>
    <row r="147" spans="1:19" x14ac:dyDescent="0.25">
      <c r="C147" s="1173" t="s">
        <v>590</v>
      </c>
      <c r="D147" s="1152"/>
      <c r="E147" s="155" t="s">
        <v>89</v>
      </c>
      <c r="F147" s="516" t="s">
        <v>521</v>
      </c>
      <c r="G147" s="517" t="s">
        <v>521</v>
      </c>
      <c r="H147" s="516" t="s">
        <v>521</v>
      </c>
      <c r="I147" s="517" t="s">
        <v>521</v>
      </c>
      <c r="J147" s="453">
        <f>IF(AND(F147&lt;&gt;"-",G147&lt;&gt;"-",H147&lt;&gt;"-",I147&lt;&gt;"-"),MAX((SUM(F147)-SUM(G147))-(SUM(H147)-SUM(I147)),0),0)</f>
        <v>0</v>
      </c>
      <c r="K147" s="448">
        <f t="shared" si="4"/>
        <v>0</v>
      </c>
      <c r="L147" s="476">
        <f>IF(AND(F147&lt;&gt;"-",G147&lt;&gt;"-",M147&lt;&gt;"-",N147&lt;&gt;"-"),MAX((SUM(F147)-SUM(G147))-(SUM(M147)-SUM(N147)),0),0)</f>
        <v>0</v>
      </c>
      <c r="M147" s="516" t="s">
        <v>521</v>
      </c>
      <c r="N147" s="517" t="s">
        <v>521</v>
      </c>
      <c r="O147" s="304" t="s">
        <v>89</v>
      </c>
    </row>
    <row r="148" spans="1:19" x14ac:dyDescent="0.25">
      <c r="C148" s="1156" t="s">
        <v>591</v>
      </c>
      <c r="D148" s="1157"/>
      <c r="E148" s="155" t="s">
        <v>89</v>
      </c>
      <c r="F148" s="437"/>
      <c r="G148" s="432"/>
      <c r="H148" s="437"/>
      <c r="I148" s="432"/>
      <c r="J148" s="477">
        <f>SUM(J149,J150,J151)</f>
        <v>0</v>
      </c>
      <c r="K148" s="443">
        <f t="shared" si="4"/>
        <v>0</v>
      </c>
      <c r="L148" s="450">
        <f>SUM(L149,L150,L151)</f>
        <v>0</v>
      </c>
      <c r="M148" s="437"/>
      <c r="N148" s="432"/>
      <c r="O148" s="304" t="s">
        <v>89</v>
      </c>
    </row>
    <row r="149" spans="1:19" x14ac:dyDescent="0.25">
      <c r="C149" s="1163" t="s">
        <v>592</v>
      </c>
      <c r="D149" s="1164"/>
      <c r="E149" s="155" t="s">
        <v>89</v>
      </c>
      <c r="F149" s="523" t="s">
        <v>521</v>
      </c>
      <c r="G149" s="524" t="s">
        <v>521</v>
      </c>
      <c r="H149" s="523" t="s">
        <v>521</v>
      </c>
      <c r="I149" s="524" t="s">
        <v>521</v>
      </c>
      <c r="J149" s="478">
        <f>IF(AND(F149&lt;&gt;"-",G149&lt;&gt;"-",H149&lt;&gt;"-",I149&lt;&gt;"-"),MAX((SUM(F149)-SUM(G149))-(SUM(H149)-SUM(I149)),0),0)</f>
        <v>0</v>
      </c>
      <c r="K149" s="443">
        <f t="shared" si="4"/>
        <v>0</v>
      </c>
      <c r="L149" s="446">
        <f>IF(AND(F149&lt;&gt;"-",G149&lt;&gt;"-",M149&lt;&gt;"-",N149&lt;&gt;"-"),MAX((SUM(F149)-SUM(G149))-(SUM(M149)-SUM(N149)),0),0)</f>
        <v>0</v>
      </c>
      <c r="M149" s="523" t="s">
        <v>521</v>
      </c>
      <c r="N149" s="524" t="s">
        <v>521</v>
      </c>
      <c r="O149" s="304" t="s">
        <v>89</v>
      </c>
    </row>
    <row r="150" spans="1:19" x14ac:dyDescent="0.25">
      <c r="C150" s="1163" t="s">
        <v>593</v>
      </c>
      <c r="D150" s="1164"/>
      <c r="E150" s="155" t="s">
        <v>89</v>
      </c>
      <c r="F150" s="523" t="s">
        <v>521</v>
      </c>
      <c r="G150" s="524" t="s">
        <v>521</v>
      </c>
      <c r="H150" s="523" t="s">
        <v>521</v>
      </c>
      <c r="I150" s="524" t="s">
        <v>521</v>
      </c>
      <c r="J150" s="465">
        <f>IF(AND(F150&lt;&gt;"-",G150&lt;&gt;"-",H150&lt;&gt;"-",I150&lt;&gt;"-"),MAX((SUM(F150)-SUM(G150))-(SUM(H150)-SUM(I150)),0),0)</f>
        <v>0</v>
      </c>
      <c r="K150" s="444">
        <f t="shared" si="4"/>
        <v>0</v>
      </c>
      <c r="L150" s="447">
        <f>IF(AND(F150&lt;&gt;"-",G150&lt;&gt;"-",M150&lt;&gt;"-",N150&lt;&gt;"-"),MAX((SUM(F150)-SUM(G150))-(SUM(M150)-SUM(N150)),0),0)</f>
        <v>0</v>
      </c>
      <c r="M150" s="523" t="s">
        <v>521</v>
      </c>
      <c r="N150" s="524" t="s">
        <v>521</v>
      </c>
      <c r="O150" s="304" t="s">
        <v>89</v>
      </c>
    </row>
    <row r="151" spans="1:19" x14ac:dyDescent="0.25">
      <c r="C151" s="1163" t="s">
        <v>594</v>
      </c>
      <c r="D151" s="1164"/>
      <c r="E151" s="155" t="s">
        <v>89</v>
      </c>
      <c r="F151" s="431"/>
      <c r="G151" s="432"/>
      <c r="H151" s="437"/>
      <c r="I151" s="432"/>
      <c r="J151" s="453">
        <f>IF($J152="Up",J153,J154)</f>
        <v>0</v>
      </c>
      <c r="K151" s="448">
        <f t="shared" si="4"/>
        <v>0</v>
      </c>
      <c r="L151" s="455">
        <f>IF($J152="Up",L153,L154)</f>
        <v>0</v>
      </c>
      <c r="M151" s="437"/>
      <c r="N151" s="432"/>
      <c r="O151" s="304" t="s">
        <v>89</v>
      </c>
    </row>
    <row r="152" spans="1:19" x14ac:dyDescent="0.25">
      <c r="C152" s="1174" t="s">
        <v>595</v>
      </c>
      <c r="D152" s="1164"/>
      <c r="E152" s="155" t="s">
        <v>89</v>
      </c>
      <c r="F152" s="424"/>
      <c r="G152" s="425"/>
      <c r="H152" s="435"/>
      <c r="I152" s="425"/>
      <c r="J152" s="1160" t="str">
        <f>IF(SUM(L153)&gt;SUM(L154),"Up","Down")</f>
        <v>Down</v>
      </c>
      <c r="K152" s="1161"/>
      <c r="L152" s="1162"/>
      <c r="M152" s="435"/>
      <c r="N152" s="425"/>
      <c r="O152" s="304" t="s">
        <v>89</v>
      </c>
    </row>
    <row r="153" spans="1:19" x14ac:dyDescent="0.25">
      <c r="C153" s="1175" t="s">
        <v>596</v>
      </c>
      <c r="D153" s="1159"/>
      <c r="E153" s="155" t="s">
        <v>89</v>
      </c>
      <c r="F153" s="515" t="s">
        <v>521</v>
      </c>
      <c r="G153" s="524" t="s">
        <v>521</v>
      </c>
      <c r="H153" s="523" t="s">
        <v>521</v>
      </c>
      <c r="I153" s="524" t="s">
        <v>521</v>
      </c>
      <c r="J153" s="465">
        <f>IF(AND(F153&lt;&gt;"-",G153&lt;&gt;"-",H153&lt;&gt;"-",I153&lt;&gt;"-"),MAX((SUM(F153)-SUM(G153))-(SUM(H153)-SUM(I153)),0),0)</f>
        <v>0</v>
      </c>
      <c r="K153" s="444">
        <f>SUM(L153)-SUM(J153)</f>
        <v>0</v>
      </c>
      <c r="L153" s="447">
        <f>IF(AND(F153&lt;&gt;"-",G153&lt;&gt;"-",M153&lt;&gt;"-",N153&lt;&gt;"-"),MAX((SUM(F153)-SUM(G153))-(SUM(M153)-SUM(N153)),0),0)</f>
        <v>0</v>
      </c>
      <c r="M153" s="523" t="s">
        <v>521</v>
      </c>
      <c r="N153" s="524" t="s">
        <v>521</v>
      </c>
      <c r="O153" s="304" t="s">
        <v>89</v>
      </c>
    </row>
    <row r="154" spans="1:19" x14ac:dyDescent="0.25">
      <c r="C154" s="1175" t="s">
        <v>597</v>
      </c>
      <c r="D154" s="1159"/>
      <c r="E154" s="155" t="s">
        <v>89</v>
      </c>
      <c r="F154" s="525" t="s">
        <v>521</v>
      </c>
      <c r="G154" s="527" t="s">
        <v>521</v>
      </c>
      <c r="H154" s="526" t="s">
        <v>521</v>
      </c>
      <c r="I154" s="527" t="s">
        <v>521</v>
      </c>
      <c r="J154" s="473">
        <f>IF(AND(F154&lt;&gt;"-",G154&lt;&gt;"-",H154&lt;&gt;"-",I154&lt;&gt;"-"),MAX((SUM(F154)-SUM(G154))-(SUM(H154)-SUM(I154)),0),0)</f>
        <v>0</v>
      </c>
      <c r="K154" s="456">
        <f>SUM(L154)-SUM(J154)</f>
        <v>0</v>
      </c>
      <c r="L154" s="479">
        <f>IF(AND(F154&lt;&gt;"-",G154&lt;&gt;"-",M154&lt;&gt;"-",N154&lt;&gt;"-"),MAX((SUM(F154)-SUM(G154))-(SUM(M154)-SUM(N154)),0),0)</f>
        <v>0</v>
      </c>
      <c r="M154" s="526" t="s">
        <v>521</v>
      </c>
      <c r="N154" s="527" t="s">
        <v>521</v>
      </c>
      <c r="O154" s="304" t="s">
        <v>89</v>
      </c>
    </row>
    <row r="155" spans="1:19" x14ac:dyDescent="0.25">
      <c r="A155" s="134" t="s">
        <v>829</v>
      </c>
      <c r="B155" s="135" t="str">
        <f>HYPERLINK(_TS_&amp;"#"&amp;SUBSTITUTE(A155,".","_"),"Open")</f>
        <v>Open</v>
      </c>
      <c r="C155" s="1156" t="s">
        <v>598</v>
      </c>
      <c r="D155" s="1157"/>
      <c r="E155" s="155" t="s">
        <v>89</v>
      </c>
      <c r="F155" s="435"/>
      <c r="G155" s="425"/>
      <c r="H155" s="435"/>
      <c r="I155" s="425"/>
      <c r="J155" s="453">
        <f>SUM(J156:J157)</f>
        <v>0</v>
      </c>
      <c r="K155" s="448">
        <f t="shared" si="4"/>
        <v>0</v>
      </c>
      <c r="L155" s="455">
        <f>SUM(L156:L157)</f>
        <v>0</v>
      </c>
      <c r="M155" s="435"/>
      <c r="N155" s="425"/>
      <c r="O155" s="304" t="s">
        <v>89</v>
      </c>
      <c r="P155" s="300"/>
    </row>
    <row r="156" spans="1:19" x14ac:dyDescent="0.25">
      <c r="C156" s="1176" t="s">
        <v>830</v>
      </c>
      <c r="D156" s="1159"/>
      <c r="E156" s="155" t="s">
        <v>89</v>
      </c>
      <c r="F156" s="523" t="s">
        <v>521</v>
      </c>
      <c r="G156" s="524" t="s">
        <v>521</v>
      </c>
      <c r="H156" s="523" t="s">
        <v>521</v>
      </c>
      <c r="I156" s="524" t="s">
        <v>521</v>
      </c>
      <c r="J156" s="465">
        <f>IF(AND(F156&lt;&gt;"-",G156&lt;&gt;"-",H156&lt;&gt;"-",I156&lt;&gt;"-"),MAX((SUM(F156)-SUM(G156))-(SUM(H156)-SUM(I156)),0),0)</f>
        <v>0</v>
      </c>
      <c r="K156" s="444">
        <f t="shared" si="4"/>
        <v>0</v>
      </c>
      <c r="L156" s="447">
        <f>IF(AND(F156&lt;&gt;"-",G156&lt;&gt;"-",M156&lt;&gt;"-",N156&lt;&gt;"-"),MAX((SUM(F156)-SUM(G156))-(SUM(M156)-SUM(N156)),0),0)</f>
        <v>0</v>
      </c>
      <c r="M156" s="523" t="s">
        <v>521</v>
      </c>
      <c r="N156" s="524" t="s">
        <v>521</v>
      </c>
      <c r="O156" s="304" t="s">
        <v>89</v>
      </c>
    </row>
    <row r="157" spans="1:19" x14ac:dyDescent="0.25">
      <c r="C157" s="1177" t="s">
        <v>831</v>
      </c>
      <c r="D157" s="1178"/>
      <c r="E157" s="155" t="s">
        <v>89</v>
      </c>
      <c r="F157" s="523" t="s">
        <v>521</v>
      </c>
      <c r="G157" s="524" t="s">
        <v>521</v>
      </c>
      <c r="H157" s="523" t="s">
        <v>521</v>
      </c>
      <c r="I157" s="524" t="s">
        <v>521</v>
      </c>
      <c r="J157" s="465">
        <f>IF(AND(F157&lt;&gt;"-",G157&lt;&gt;"-",H157&lt;&gt;"-",I157&lt;&gt;"-"),MAX((SUM(F157)-SUM(G157))-(SUM(H157)-SUM(I157)),0),0)</f>
        <v>0</v>
      </c>
      <c r="K157" s="444">
        <f t="shared" si="4"/>
        <v>0</v>
      </c>
      <c r="L157" s="447">
        <f>IF(AND(F157&lt;&gt;"-",G157&lt;&gt;"-",M157&lt;&gt;"-",N157&lt;&gt;"-"),MAX((SUM(F157)-SUM(G157))-(SUM(M157)-SUM(N157)),0),0)</f>
        <v>0</v>
      </c>
      <c r="M157" s="523" t="s">
        <v>521</v>
      </c>
      <c r="N157" s="524" t="s">
        <v>521</v>
      </c>
      <c r="O157" s="304" t="s">
        <v>89</v>
      </c>
    </row>
    <row r="158" spans="1:19" x14ac:dyDescent="0.25">
      <c r="C158" s="1173" t="s">
        <v>599</v>
      </c>
      <c r="D158" s="1152"/>
      <c r="E158" s="155" t="s">
        <v>89</v>
      </c>
      <c r="F158" s="420"/>
      <c r="G158" s="421"/>
      <c r="H158" s="420"/>
      <c r="I158" s="421"/>
      <c r="J158" s="529" t="s">
        <v>521</v>
      </c>
      <c r="K158" s="448">
        <f t="shared" si="4"/>
        <v>0</v>
      </c>
      <c r="L158" s="517" t="s">
        <v>521</v>
      </c>
      <c r="M158" s="420"/>
      <c r="N158" s="421"/>
      <c r="O158" s="304" t="s">
        <v>89</v>
      </c>
    </row>
    <row r="159" spans="1:19" x14ac:dyDescent="0.25">
      <c r="C159" s="1173" t="s">
        <v>1165</v>
      </c>
      <c r="D159" s="1152"/>
      <c r="E159" s="161" t="s">
        <v>89</v>
      </c>
      <c r="F159" s="877" t="s">
        <v>521</v>
      </c>
      <c r="G159" s="878" t="s">
        <v>521</v>
      </c>
      <c r="H159" s="879" t="s">
        <v>521</v>
      </c>
      <c r="I159" s="878" t="s">
        <v>521</v>
      </c>
      <c r="J159" s="880">
        <f>IF(AND(F159&lt;&gt;"-",G159&lt;&gt;"-",H159&lt;&gt;"-",I159&lt;&gt;"-"),MAX((SUM(F159)-SUM(G159))-(SUM(H159)-SUM(I159)),0),0)</f>
        <v>0</v>
      </c>
      <c r="K159" s="870">
        <f t="shared" si="4"/>
        <v>0</v>
      </c>
      <c r="L159" s="878">
        <f>IF(AND(F159&lt;&gt;"-",G159&lt;&gt;"-",M159&lt;&gt;"-",N159&lt;&gt;"-"),MAX((SUM(F159)-SUM(G159))-(SUM(M159)-SUM(N159)),0),0)</f>
        <v>0</v>
      </c>
      <c r="M159" s="879" t="s">
        <v>521</v>
      </c>
      <c r="N159" s="878" t="s">
        <v>521</v>
      </c>
      <c r="O159" s="304" t="s">
        <v>89</v>
      </c>
    </row>
    <row r="160" spans="1:19" x14ac:dyDescent="0.25">
      <c r="C160" s="4"/>
      <c r="D160" s="4"/>
      <c r="E160" s="4"/>
      <c r="F160" s="4"/>
      <c r="N160" s="300"/>
      <c r="O160" s="304" t="s">
        <v>89</v>
      </c>
    </row>
    <row r="161" spans="3:15" x14ac:dyDescent="0.25">
      <c r="C161" s="1043" t="s">
        <v>1045</v>
      </c>
      <c r="D161" s="1111" t="str">
        <f>$D$63</f>
        <v>Alap</v>
      </c>
      <c r="E161" s="300"/>
      <c r="F161" s="300"/>
      <c r="G161" s="300"/>
      <c r="H161" s="300"/>
      <c r="I161" s="300"/>
      <c r="J161" s="300"/>
      <c r="K161" s="300"/>
      <c r="L161" s="300"/>
      <c r="M161" s="300"/>
      <c r="O161" s="304" t="s">
        <v>89</v>
      </c>
    </row>
    <row r="162" spans="3:15" x14ac:dyDescent="0.25">
      <c r="C162" s="1045"/>
      <c r="D162" s="1112"/>
      <c r="E162" s="300"/>
      <c r="F162" s="300"/>
      <c r="G162" s="300"/>
      <c r="H162" s="300"/>
      <c r="I162" s="300"/>
      <c r="J162" s="300"/>
      <c r="K162" s="300"/>
      <c r="L162" s="300"/>
      <c r="M162" s="300"/>
      <c r="O162" s="304" t="s">
        <v>89</v>
      </c>
    </row>
    <row r="163" spans="3:15" x14ac:dyDescent="0.25">
      <c r="C163" s="203"/>
      <c r="D163" s="204"/>
      <c r="E163" s="300"/>
      <c r="F163" s="300"/>
      <c r="G163" s="300"/>
      <c r="H163" s="300"/>
      <c r="I163" s="300"/>
      <c r="J163" s="300"/>
      <c r="K163" s="300"/>
      <c r="L163" s="300"/>
      <c r="M163" s="300"/>
      <c r="O163" s="304" t="s">
        <v>89</v>
      </c>
    </row>
    <row r="164" spans="3:15" x14ac:dyDescent="0.25">
      <c r="C164" s="1179" t="s">
        <v>1124</v>
      </c>
      <c r="D164" s="1180"/>
      <c r="E164" s="205" t="s">
        <v>89</v>
      </c>
      <c r="F164" s="782" t="s">
        <v>735</v>
      </c>
      <c r="G164" s="691"/>
      <c r="H164" s="786" t="s">
        <v>584</v>
      </c>
      <c r="I164" s="787"/>
      <c r="J164" s="783"/>
      <c r="K164" s="784" t="str">
        <f>K134</f>
        <v>Scenario based stressed values</v>
      </c>
      <c r="L164" s="785"/>
      <c r="M164" s="1151" t="s">
        <v>586</v>
      </c>
      <c r="N164" s="1153"/>
      <c r="O164" s="304" t="s">
        <v>89</v>
      </c>
    </row>
    <row r="165" spans="3:15" x14ac:dyDescent="0.25">
      <c r="C165" s="1181" t="s">
        <v>587</v>
      </c>
      <c r="D165" s="1182"/>
      <c r="E165" s="205" t="s">
        <v>89</v>
      </c>
      <c r="F165" s="695" t="s">
        <v>0</v>
      </c>
      <c r="G165" s="695" t="s">
        <v>20</v>
      </c>
      <c r="H165" s="695" t="s">
        <v>0</v>
      </c>
      <c r="I165" s="695" t="s">
        <v>20</v>
      </c>
      <c r="J165" s="695" t="s">
        <v>550</v>
      </c>
      <c r="K165" s="695" t="s">
        <v>551</v>
      </c>
      <c r="L165" s="695" t="s">
        <v>552</v>
      </c>
      <c r="M165" s="695" t="s">
        <v>0</v>
      </c>
      <c r="N165" s="695" t="s">
        <v>20</v>
      </c>
      <c r="O165" s="304" t="s">
        <v>89</v>
      </c>
    </row>
    <row r="166" spans="3:15" x14ac:dyDescent="0.25">
      <c r="C166" s="1183" t="s">
        <v>576</v>
      </c>
      <c r="D166" s="1157"/>
      <c r="E166" s="157" t="s">
        <v>89</v>
      </c>
      <c r="F166" s="520" t="s">
        <v>521</v>
      </c>
      <c r="G166" s="522" t="s">
        <v>521</v>
      </c>
      <c r="H166" s="521" t="s">
        <v>521</v>
      </c>
      <c r="I166" s="522" t="s">
        <v>521</v>
      </c>
      <c r="J166" s="478">
        <f>IF(AND(F166&lt;&gt;"-",G166&lt;&gt;"-",H166&lt;&gt;"-",I166&lt;&gt;"-"),MAX((SUM(F166)-SUM(G166))-(SUM(H166)-SUM(I166)),0),0)</f>
        <v>0</v>
      </c>
      <c r="K166" s="443">
        <f>SUM(L166)-SUM(J166)</f>
        <v>0</v>
      </c>
      <c r="L166" s="446">
        <f>IF(AND(F166&lt;&gt;"-",G166&lt;&gt;"-",M166&lt;&gt;"-",N166&lt;&gt;"-"),MAX((SUM(F166)-SUM(G166))-(SUM(M166)-SUM(N166)),0),0)</f>
        <v>0</v>
      </c>
      <c r="M166" s="521" t="s">
        <v>521</v>
      </c>
      <c r="N166" s="522" t="s">
        <v>521</v>
      </c>
      <c r="O166" s="304" t="s">
        <v>89</v>
      </c>
    </row>
    <row r="167" spans="3:15" x14ac:dyDescent="0.25">
      <c r="C167" s="1158" t="s">
        <v>577</v>
      </c>
      <c r="D167" s="1159"/>
      <c r="E167" s="155" t="s">
        <v>89</v>
      </c>
      <c r="F167" s="515" t="s">
        <v>521</v>
      </c>
      <c r="G167" s="524" t="s">
        <v>521</v>
      </c>
      <c r="H167" s="523" t="s">
        <v>521</v>
      </c>
      <c r="I167" s="524" t="s">
        <v>521</v>
      </c>
      <c r="J167" s="465">
        <f>IF(AND(F167&lt;&gt;"-",G167&lt;&gt;"-",H167&lt;&gt;"-",I167&lt;&gt;"-"),MAX((SUM(F167)-SUM(G167))-(SUM(H167)-SUM(I167)),0),0)</f>
        <v>0</v>
      </c>
      <c r="K167" s="444">
        <f>SUM(L167)-SUM(J167)</f>
        <v>0</v>
      </c>
      <c r="L167" s="447">
        <f>IF(AND(F167&lt;&gt;"-",G167&lt;&gt;"-",M167&lt;&gt;"-",N167&lt;&gt;"-"),MAX((SUM(F167)-SUM(G167))-(SUM(M167)-SUM(N167)),0),0)</f>
        <v>0</v>
      </c>
      <c r="M167" s="523" t="s">
        <v>521</v>
      </c>
      <c r="N167" s="524" t="s">
        <v>521</v>
      </c>
      <c r="O167" s="304" t="s">
        <v>89</v>
      </c>
    </row>
    <row r="168" spans="3:15" x14ac:dyDescent="0.25">
      <c r="C168" s="1184" t="s">
        <v>621</v>
      </c>
      <c r="D168" s="1178"/>
      <c r="E168" s="155" t="s">
        <v>89</v>
      </c>
      <c r="F168" s="515" t="s">
        <v>521</v>
      </c>
      <c r="G168" s="524" t="s">
        <v>521</v>
      </c>
      <c r="H168" s="523" t="s">
        <v>521</v>
      </c>
      <c r="I168" s="524" t="s">
        <v>521</v>
      </c>
      <c r="J168" s="465">
        <f>IF(AND(F168&lt;&gt;"-",G168&lt;&gt;"-",H168&lt;&gt;"-",I168&lt;&gt;"-"),MAX((SUM(F168)-SUM(G168))-(SUM(H168)-SUM(I168)),0),0)</f>
        <v>0</v>
      </c>
      <c r="K168" s="444">
        <f>SUM(L168)-SUM(J168)</f>
        <v>0</v>
      </c>
      <c r="L168" s="447">
        <f>IF(AND(F168&lt;&gt;"-",G168&lt;&gt;"-",M168&lt;&gt;"-",N168&lt;&gt;"-"),MAX((SUM(F168)-SUM(G168))-(SUM(M168)-SUM(N168)),0),0)</f>
        <v>0</v>
      </c>
      <c r="M168" s="523" t="s">
        <v>521</v>
      </c>
      <c r="N168" s="524" t="s">
        <v>521</v>
      </c>
      <c r="O168" s="304" t="s">
        <v>89</v>
      </c>
    </row>
    <row r="169" spans="3:15" x14ac:dyDescent="0.25">
      <c r="C169" s="1183" t="s">
        <v>622</v>
      </c>
      <c r="D169" s="1157"/>
      <c r="E169" s="157" t="s">
        <v>89</v>
      </c>
      <c r="F169" s="431"/>
      <c r="G169" s="432"/>
      <c r="H169" s="437"/>
      <c r="I169" s="432"/>
      <c r="J169" s="475">
        <f>IF($J170="Up",J171,IF($J170="Down",J172,J173))</f>
        <v>0</v>
      </c>
      <c r="K169" s="448">
        <f>SUM(L169)-SUM(J169)</f>
        <v>0</v>
      </c>
      <c r="L169" s="448">
        <f>IF($J170="Up",L171,IF($J170="Down",L172,L173))</f>
        <v>0</v>
      </c>
      <c r="M169" s="437"/>
      <c r="N169" s="432"/>
      <c r="O169" s="304" t="s">
        <v>89</v>
      </c>
    </row>
    <row r="170" spans="3:15" x14ac:dyDescent="0.25">
      <c r="C170" s="1158" t="s">
        <v>623</v>
      </c>
      <c r="D170" s="1159"/>
      <c r="E170" s="155" t="s">
        <v>89</v>
      </c>
      <c r="F170" s="424"/>
      <c r="G170" s="425"/>
      <c r="H170" s="435"/>
      <c r="I170" s="425"/>
      <c r="J170" s="1160" t="str">
        <f>IF(MAX(L171:L173)=L172,"Down",IF(MAX(L171:L173)=L171,"Up","Mass"))</f>
        <v>Down</v>
      </c>
      <c r="K170" s="1161"/>
      <c r="L170" s="1162"/>
      <c r="M170" s="435"/>
      <c r="N170" s="425"/>
      <c r="O170" s="304" t="s">
        <v>89</v>
      </c>
    </row>
    <row r="171" spans="3:15" x14ac:dyDescent="0.25">
      <c r="C171" s="1176" t="s">
        <v>624</v>
      </c>
      <c r="D171" s="1159"/>
      <c r="E171" s="155" t="s">
        <v>89</v>
      </c>
      <c r="F171" s="515" t="s">
        <v>521</v>
      </c>
      <c r="G171" s="524" t="s">
        <v>521</v>
      </c>
      <c r="H171" s="523" t="s">
        <v>521</v>
      </c>
      <c r="I171" s="524" t="s">
        <v>521</v>
      </c>
      <c r="J171" s="465">
        <f t="shared" ref="J171:J176" si="6">IF(AND(F171&lt;&gt;"-",G171&lt;&gt;"-",H171&lt;&gt;"-",I171&lt;&gt;"-"),MAX((SUM(F171)-SUM(G171))-(SUM(H171)-SUM(I171)),0),0)</f>
        <v>0</v>
      </c>
      <c r="K171" s="444">
        <f t="shared" ref="K171:K176" si="7">SUM(L171)-SUM(J171)</f>
        <v>0</v>
      </c>
      <c r="L171" s="447">
        <f t="shared" ref="L171:L176" si="8">IF(AND(F171&lt;&gt;"-",G171&lt;&gt;"-",M171&lt;&gt;"-",N171&lt;&gt;"-"),MAX((SUM(F171)-SUM(G171))-(SUM(M171)-SUM(N171)),0),0)</f>
        <v>0</v>
      </c>
      <c r="M171" s="523" t="s">
        <v>521</v>
      </c>
      <c r="N171" s="524" t="s">
        <v>521</v>
      </c>
      <c r="O171" s="304" t="s">
        <v>89</v>
      </c>
    </row>
    <row r="172" spans="3:15" x14ac:dyDescent="0.25">
      <c r="C172" s="1176" t="s">
        <v>625</v>
      </c>
      <c r="D172" s="1159"/>
      <c r="E172" s="155" t="s">
        <v>89</v>
      </c>
      <c r="F172" s="515" t="s">
        <v>521</v>
      </c>
      <c r="G172" s="524" t="s">
        <v>521</v>
      </c>
      <c r="H172" s="523" t="s">
        <v>521</v>
      </c>
      <c r="I172" s="524" t="s">
        <v>521</v>
      </c>
      <c r="J172" s="465">
        <f t="shared" si="6"/>
        <v>0</v>
      </c>
      <c r="K172" s="444">
        <f t="shared" si="7"/>
        <v>0</v>
      </c>
      <c r="L172" s="447">
        <f t="shared" si="8"/>
        <v>0</v>
      </c>
      <c r="M172" s="523" t="s">
        <v>521</v>
      </c>
      <c r="N172" s="524" t="s">
        <v>521</v>
      </c>
      <c r="O172" s="304" t="s">
        <v>89</v>
      </c>
    </row>
    <row r="173" spans="3:15" x14ac:dyDescent="0.25">
      <c r="C173" s="1177" t="s">
        <v>626</v>
      </c>
      <c r="D173" s="1178"/>
      <c r="E173" s="161" t="s">
        <v>89</v>
      </c>
      <c r="F173" s="525" t="s">
        <v>521</v>
      </c>
      <c r="G173" s="527" t="s">
        <v>521</v>
      </c>
      <c r="H173" s="526" t="s">
        <v>521</v>
      </c>
      <c r="I173" s="527" t="s">
        <v>521</v>
      </c>
      <c r="J173" s="473">
        <f t="shared" si="6"/>
        <v>0</v>
      </c>
      <c r="K173" s="456">
        <f t="shared" si="7"/>
        <v>0</v>
      </c>
      <c r="L173" s="479">
        <f t="shared" si="8"/>
        <v>0</v>
      </c>
      <c r="M173" s="526" t="s">
        <v>521</v>
      </c>
      <c r="N173" s="527" t="s">
        <v>521</v>
      </c>
      <c r="O173" s="304" t="s">
        <v>89</v>
      </c>
    </row>
    <row r="174" spans="3:15" x14ac:dyDescent="0.25">
      <c r="C174" s="1158" t="s">
        <v>147</v>
      </c>
      <c r="D174" s="1159"/>
      <c r="E174" s="155" t="s">
        <v>89</v>
      </c>
      <c r="F174" s="515" t="s">
        <v>521</v>
      </c>
      <c r="G174" s="524" t="s">
        <v>521</v>
      </c>
      <c r="H174" s="523" t="s">
        <v>521</v>
      </c>
      <c r="I174" s="524" t="s">
        <v>521</v>
      </c>
      <c r="J174" s="465">
        <f t="shared" si="6"/>
        <v>0</v>
      </c>
      <c r="K174" s="444">
        <f t="shared" si="7"/>
        <v>0</v>
      </c>
      <c r="L174" s="447">
        <f t="shared" si="8"/>
        <v>0</v>
      </c>
      <c r="M174" s="523" t="s">
        <v>521</v>
      </c>
      <c r="N174" s="524" t="s">
        <v>521</v>
      </c>
      <c r="O174" s="304" t="s">
        <v>89</v>
      </c>
    </row>
    <row r="175" spans="3:15" x14ac:dyDescent="0.25">
      <c r="C175" s="1158" t="s">
        <v>65</v>
      </c>
      <c r="D175" s="1159"/>
      <c r="E175" s="155" t="s">
        <v>89</v>
      </c>
      <c r="F175" s="515" t="s">
        <v>521</v>
      </c>
      <c r="G175" s="524" t="s">
        <v>521</v>
      </c>
      <c r="H175" s="523" t="s">
        <v>521</v>
      </c>
      <c r="I175" s="524" t="s">
        <v>521</v>
      </c>
      <c r="J175" s="465">
        <f t="shared" si="6"/>
        <v>0</v>
      </c>
      <c r="K175" s="444">
        <f t="shared" si="7"/>
        <v>0</v>
      </c>
      <c r="L175" s="447">
        <f t="shared" si="8"/>
        <v>0</v>
      </c>
      <c r="M175" s="523" t="s">
        <v>521</v>
      </c>
      <c r="N175" s="524" t="s">
        <v>521</v>
      </c>
      <c r="O175" s="304" t="s">
        <v>89</v>
      </c>
    </row>
    <row r="176" spans="3:15" x14ac:dyDescent="0.25">
      <c r="C176" s="1184" t="s">
        <v>66</v>
      </c>
      <c r="D176" s="1178"/>
      <c r="E176" s="161" t="s">
        <v>89</v>
      </c>
      <c r="F176" s="525" t="s">
        <v>521</v>
      </c>
      <c r="G176" s="527" t="s">
        <v>521</v>
      </c>
      <c r="H176" s="526" t="s">
        <v>521</v>
      </c>
      <c r="I176" s="527" t="s">
        <v>521</v>
      </c>
      <c r="J176" s="473">
        <f t="shared" si="6"/>
        <v>0</v>
      </c>
      <c r="K176" s="456">
        <f t="shared" si="7"/>
        <v>0</v>
      </c>
      <c r="L176" s="479">
        <f t="shared" si="8"/>
        <v>0</v>
      </c>
      <c r="M176" s="526" t="s">
        <v>521</v>
      </c>
      <c r="N176" s="527" t="s">
        <v>521</v>
      </c>
      <c r="O176" s="304" t="s">
        <v>89</v>
      </c>
    </row>
    <row r="177" spans="1:23" x14ac:dyDescent="0.25">
      <c r="C177" s="4"/>
      <c r="D177" s="4"/>
      <c r="E177" s="4"/>
      <c r="F177" s="4"/>
      <c r="O177" s="304" t="s">
        <v>89</v>
      </c>
    </row>
    <row r="178" spans="1:23" x14ac:dyDescent="0.25">
      <c r="C178" s="1043" t="s">
        <v>1046</v>
      </c>
      <c r="D178" s="1111" t="str">
        <f>$D$63</f>
        <v>Alap</v>
      </c>
      <c r="E178" s="300"/>
      <c r="F178" s="300"/>
      <c r="G178" s="300"/>
      <c r="H178" s="300"/>
      <c r="I178" s="300"/>
      <c r="J178" s="300"/>
      <c r="K178" s="300"/>
      <c r="L178" s="300"/>
      <c r="M178" s="300"/>
      <c r="O178" s="304" t="s">
        <v>89</v>
      </c>
    </row>
    <row r="179" spans="1:23" x14ac:dyDescent="0.25">
      <c r="C179" s="1045"/>
      <c r="D179" s="1112"/>
      <c r="E179" s="300"/>
      <c r="F179" s="300"/>
      <c r="G179" s="300"/>
      <c r="H179" s="300"/>
      <c r="I179" s="300"/>
      <c r="J179" s="300"/>
      <c r="K179" s="300"/>
      <c r="L179" s="300"/>
      <c r="M179" s="300"/>
      <c r="O179" s="304" t="s">
        <v>89</v>
      </c>
    </row>
    <row r="180" spans="1:23" x14ac:dyDescent="0.25">
      <c r="C180" s="203"/>
      <c r="D180" s="204"/>
      <c r="E180" s="300"/>
      <c r="F180" s="300"/>
      <c r="G180" s="300"/>
      <c r="H180" s="300"/>
      <c r="I180" s="300"/>
      <c r="J180" s="300"/>
      <c r="K180" s="300"/>
      <c r="L180" s="300"/>
      <c r="M180" s="300"/>
      <c r="O180" s="304" t="s">
        <v>89</v>
      </c>
    </row>
    <row r="181" spans="1:23" x14ac:dyDescent="0.25">
      <c r="C181" s="945" t="s">
        <v>628</v>
      </c>
      <c r="D181" s="946"/>
      <c r="E181" s="300"/>
      <c r="F181" s="695" t="s">
        <v>548</v>
      </c>
      <c r="G181" s="695" t="s">
        <v>549</v>
      </c>
      <c r="H181" s="695" t="s">
        <v>550</v>
      </c>
      <c r="I181" s="695" t="s">
        <v>551</v>
      </c>
      <c r="J181" s="695" t="s">
        <v>552</v>
      </c>
      <c r="K181" s="71" t="s">
        <v>738</v>
      </c>
      <c r="L181" s="94"/>
      <c r="M181" s="94"/>
      <c r="N181" s="94"/>
      <c r="O181" s="304" t="s">
        <v>89</v>
      </c>
    </row>
    <row r="182" spans="1:23" x14ac:dyDescent="0.25">
      <c r="A182" s="134" t="s">
        <v>1094</v>
      </c>
      <c r="B182" s="135" t="str">
        <f>HYPERLINK(_TS_&amp;"#"&amp;SUBSTITUTE(A182,".","_"),"Open")</f>
        <v>Open</v>
      </c>
      <c r="C182" s="671" t="s">
        <v>616</v>
      </c>
      <c r="D182" s="451">
        <f>SQRT(D216^2+D229^2)</f>
        <v>0</v>
      </c>
      <c r="E182" s="300"/>
      <c r="F182" s="453">
        <f>SUM(H183:H189)</f>
        <v>0</v>
      </c>
      <c r="G182" s="453">
        <f>SUM(H182)-SUM(F182)</f>
        <v>0</v>
      </c>
      <c r="H182" s="448">
        <f>SQRT(SUMPRODUCT(H183:H188,MMULT($R$183:$W$188,H183:H188*1)))</f>
        <v>0</v>
      </c>
      <c r="I182" s="448">
        <f>SUM(H182)-SUM(J182)</f>
        <v>0</v>
      </c>
      <c r="J182" s="448">
        <f>SQRT(SUMPRODUCT(J183:J188,MMULT($R$183:$W$188,J183:J188*1)))</f>
        <v>0</v>
      </c>
      <c r="K182" s="776" t="s">
        <v>617</v>
      </c>
      <c r="L182" s="777"/>
      <c r="M182" s="777"/>
      <c r="N182" s="778"/>
      <c r="O182" s="304" t="s">
        <v>89</v>
      </c>
      <c r="P182" s="213" t="s">
        <v>151</v>
      </c>
      <c r="Q182" s="33" t="s">
        <v>155</v>
      </c>
      <c r="R182" s="34" t="s">
        <v>61</v>
      </c>
      <c r="S182" s="35" t="s">
        <v>62</v>
      </c>
      <c r="T182" s="35" t="s">
        <v>156</v>
      </c>
      <c r="U182" s="35" t="s">
        <v>63</v>
      </c>
      <c r="V182" s="35" t="s">
        <v>64</v>
      </c>
      <c r="W182" s="36" t="s">
        <v>65</v>
      </c>
    </row>
    <row r="183" spans="1:23" x14ac:dyDescent="0.25">
      <c r="C183" s="4"/>
      <c r="D183" s="4"/>
      <c r="E183" s="300"/>
      <c r="F183" s="424"/>
      <c r="G183" s="435"/>
      <c r="H183" s="465">
        <f>SUM(J198)</f>
        <v>0</v>
      </c>
      <c r="I183" s="444">
        <f t="shared" ref="I183:I188" si="9">SUM(J183)-SUM(H183)</f>
        <v>0</v>
      </c>
      <c r="J183" s="465">
        <f>SUM(L198)</f>
        <v>0</v>
      </c>
      <c r="K183" s="774" t="s">
        <v>576</v>
      </c>
      <c r="L183" s="769"/>
      <c r="M183" s="769"/>
      <c r="N183" s="607"/>
      <c r="O183" s="304" t="s">
        <v>89</v>
      </c>
      <c r="Q183" s="37" t="s">
        <v>61</v>
      </c>
      <c r="R183" s="38">
        <v>1</v>
      </c>
      <c r="S183" s="39">
        <f>R184</f>
        <v>-0.25</v>
      </c>
      <c r="T183" s="39">
        <f>R185</f>
        <v>0.25</v>
      </c>
      <c r="U183" s="39">
        <f>R186</f>
        <v>0</v>
      </c>
      <c r="V183" s="39">
        <f>R187</f>
        <v>0.25</v>
      </c>
      <c r="W183" s="40">
        <f>R188</f>
        <v>0</v>
      </c>
    </row>
    <row r="184" spans="1:23" x14ac:dyDescent="0.25">
      <c r="C184" s="4"/>
      <c r="D184" s="4"/>
      <c r="E184" s="300"/>
      <c r="F184" s="424"/>
      <c r="G184" s="435"/>
      <c r="H184" s="465">
        <f>SUM(J199)</f>
        <v>0</v>
      </c>
      <c r="I184" s="444">
        <f t="shared" si="9"/>
        <v>0</v>
      </c>
      <c r="J184" s="465">
        <f>SUM(L199)</f>
        <v>0</v>
      </c>
      <c r="K184" s="754" t="s">
        <v>577</v>
      </c>
      <c r="L184" s="734"/>
      <c r="M184" s="734"/>
      <c r="N184" s="770"/>
      <c r="O184" s="304" t="s">
        <v>89</v>
      </c>
      <c r="Q184" s="37" t="s">
        <v>62</v>
      </c>
      <c r="R184" s="38">
        <v>-0.25</v>
      </c>
      <c r="S184" s="38">
        <v>1</v>
      </c>
      <c r="T184" s="39">
        <f>S185</f>
        <v>0</v>
      </c>
      <c r="U184" s="39">
        <f>S186</f>
        <v>0.25</v>
      </c>
      <c r="V184" s="39">
        <f>S187</f>
        <v>0.25</v>
      </c>
      <c r="W184" s="40">
        <f>S188</f>
        <v>0.25</v>
      </c>
    </row>
    <row r="185" spans="1:23" x14ac:dyDescent="0.25">
      <c r="C185" s="4"/>
      <c r="D185" s="4"/>
      <c r="E185" s="4"/>
      <c r="F185" s="424"/>
      <c r="G185" s="435"/>
      <c r="H185" s="465">
        <f>SUM(J200)</f>
        <v>0</v>
      </c>
      <c r="I185" s="444">
        <f t="shared" si="9"/>
        <v>0</v>
      </c>
      <c r="J185" s="465">
        <f>SUM(L200)</f>
        <v>0</v>
      </c>
      <c r="K185" s="754" t="s">
        <v>578</v>
      </c>
      <c r="L185" s="734"/>
      <c r="M185" s="734"/>
      <c r="N185" s="770"/>
      <c r="O185" s="304" t="s">
        <v>89</v>
      </c>
      <c r="Q185" s="37" t="s">
        <v>156</v>
      </c>
      <c r="R185" s="38">
        <v>0.25</v>
      </c>
      <c r="S185" s="38">
        <v>0</v>
      </c>
      <c r="T185" s="38">
        <v>1</v>
      </c>
      <c r="U185" s="39">
        <f>T186</f>
        <v>0</v>
      </c>
      <c r="V185" s="39">
        <f>T187</f>
        <v>0.5</v>
      </c>
      <c r="W185" s="40">
        <f>T188</f>
        <v>0</v>
      </c>
    </row>
    <row r="186" spans="1:23" x14ac:dyDescent="0.25">
      <c r="C186" s="4"/>
      <c r="D186" s="4"/>
      <c r="E186" s="4"/>
      <c r="F186" s="424"/>
      <c r="G186" s="435"/>
      <c r="H186" s="465">
        <f>SUM(J206)</f>
        <v>0</v>
      </c>
      <c r="I186" s="444">
        <f t="shared" si="9"/>
        <v>0</v>
      </c>
      <c r="J186" s="465">
        <f>SUM(L206)</f>
        <v>0</v>
      </c>
      <c r="K186" s="754" t="s">
        <v>627</v>
      </c>
      <c r="L186" s="734"/>
      <c r="M186" s="734"/>
      <c r="N186" s="770"/>
      <c r="O186" s="304" t="s">
        <v>89</v>
      </c>
      <c r="Q186" s="37" t="s">
        <v>63</v>
      </c>
      <c r="R186" s="38">
        <v>0</v>
      </c>
      <c r="S186" s="38">
        <v>0.25</v>
      </c>
      <c r="T186" s="38">
        <v>0</v>
      </c>
      <c r="U186" s="38">
        <v>1</v>
      </c>
      <c r="V186" s="39">
        <f>U187</f>
        <v>0.5</v>
      </c>
      <c r="W186" s="40">
        <f>U188</f>
        <v>0</v>
      </c>
    </row>
    <row r="187" spans="1:23" x14ac:dyDescent="0.25">
      <c r="C187" s="4"/>
      <c r="D187" s="4"/>
      <c r="E187" s="4"/>
      <c r="F187" s="424"/>
      <c r="G187" s="435"/>
      <c r="H187" s="465">
        <f>SUM(J211)</f>
        <v>0</v>
      </c>
      <c r="I187" s="444">
        <f t="shared" si="9"/>
        <v>0</v>
      </c>
      <c r="J187" s="465">
        <f>SUM(L211)</f>
        <v>0</v>
      </c>
      <c r="K187" s="754" t="s">
        <v>147</v>
      </c>
      <c r="L187" s="734"/>
      <c r="M187" s="734"/>
      <c r="N187" s="770"/>
      <c r="O187" s="304" t="s">
        <v>89</v>
      </c>
      <c r="Q187" s="37" t="s">
        <v>64</v>
      </c>
      <c r="R187" s="38">
        <v>0.25</v>
      </c>
      <c r="S187" s="38">
        <v>0.25</v>
      </c>
      <c r="T187" s="38">
        <v>0.5</v>
      </c>
      <c r="U187" s="38">
        <v>0.5</v>
      </c>
      <c r="V187" s="38">
        <v>1</v>
      </c>
      <c r="W187" s="40">
        <f>V188</f>
        <v>0.5</v>
      </c>
    </row>
    <row r="188" spans="1:23" x14ac:dyDescent="0.25">
      <c r="C188" s="4"/>
      <c r="D188" s="4"/>
      <c r="E188" s="4"/>
      <c r="F188" s="427"/>
      <c r="G188" s="436"/>
      <c r="H188" s="473">
        <f>SUM(J212)</f>
        <v>0</v>
      </c>
      <c r="I188" s="456">
        <f t="shared" si="9"/>
        <v>0</v>
      </c>
      <c r="J188" s="473">
        <f>SUM(L212)</f>
        <v>0</v>
      </c>
      <c r="K188" s="775" t="s">
        <v>65</v>
      </c>
      <c r="L188" s="772"/>
      <c r="M188" s="772"/>
      <c r="N188" s="773"/>
      <c r="O188" s="304" t="s">
        <v>89</v>
      </c>
      <c r="Q188" s="41" t="s">
        <v>65</v>
      </c>
      <c r="R188" s="42">
        <v>0</v>
      </c>
      <c r="S188" s="42">
        <v>0.25</v>
      </c>
      <c r="T188" s="42">
        <v>0</v>
      </c>
      <c r="U188" s="42">
        <v>0</v>
      </c>
      <c r="V188" s="42">
        <v>0.5</v>
      </c>
      <c r="W188" s="42">
        <v>1</v>
      </c>
    </row>
    <row r="189" spans="1:23" x14ac:dyDescent="0.25">
      <c r="C189" s="4"/>
      <c r="D189" s="4"/>
      <c r="E189" s="4"/>
      <c r="F189" s="4"/>
      <c r="O189" s="304" t="s">
        <v>89</v>
      </c>
    </row>
    <row r="190" spans="1:23" x14ac:dyDescent="0.25">
      <c r="A190" s="134" t="s">
        <v>837</v>
      </c>
      <c r="B190" s="135" t="str">
        <f>HYPERLINK(_TS_&amp;"#"&amp;SUBSTITUTE(A190,".","_"),"Open")</f>
        <v>Open</v>
      </c>
      <c r="C190" s="4"/>
      <c r="D190" s="4"/>
      <c r="E190" s="4"/>
      <c r="F190" s="695" t="s">
        <v>548</v>
      </c>
      <c r="G190" s="695" t="s">
        <v>549</v>
      </c>
      <c r="H190" s="695" t="s">
        <v>550</v>
      </c>
      <c r="I190" s="695" t="s">
        <v>551</v>
      </c>
      <c r="J190" s="695" t="s">
        <v>552</v>
      </c>
      <c r="K190" s="71" t="s">
        <v>154</v>
      </c>
      <c r="L190" s="94"/>
      <c r="M190" s="94"/>
      <c r="N190" s="94"/>
      <c r="O190" s="304" t="s">
        <v>89</v>
      </c>
      <c r="Q190" s="33" t="s">
        <v>157</v>
      </c>
      <c r="R190" s="34" t="s">
        <v>158</v>
      </c>
      <c r="S190" s="36" t="s">
        <v>159</v>
      </c>
    </row>
    <row r="191" spans="1:23" x14ac:dyDescent="0.25">
      <c r="C191" s="4"/>
      <c r="D191" s="4"/>
      <c r="E191" s="4"/>
      <c r="F191" s="453">
        <f>SUM(H192:H194)</f>
        <v>0</v>
      </c>
      <c r="G191" s="453">
        <f>SUM(H191)-SUM(F191)</f>
        <v>0</v>
      </c>
      <c r="H191" s="451">
        <f>SQRT(SUMSQ(H192:H194))</f>
        <v>0</v>
      </c>
      <c r="I191" s="448">
        <f>SUM(H191)-SUM(J191)</f>
        <v>0</v>
      </c>
      <c r="J191" s="451">
        <f>SQRT(SUMSQ(J192:J194))</f>
        <v>0</v>
      </c>
      <c r="K191" s="776" t="s">
        <v>617</v>
      </c>
      <c r="L191" s="777"/>
      <c r="M191" s="777"/>
      <c r="N191" s="778"/>
      <c r="O191" s="304" t="s">
        <v>89</v>
      </c>
      <c r="Q191" s="37" t="s">
        <v>158</v>
      </c>
      <c r="R191" s="38">
        <v>1</v>
      </c>
      <c r="S191" s="40">
        <f>R192</f>
        <v>0</v>
      </c>
    </row>
    <row r="192" spans="1:23" x14ac:dyDescent="0.25">
      <c r="C192" s="4"/>
      <c r="D192" s="4"/>
      <c r="E192" s="4"/>
      <c r="F192" s="424"/>
      <c r="G192" s="435"/>
      <c r="H192" s="514" t="s">
        <v>521</v>
      </c>
      <c r="I192" s="444">
        <f>SUM(J192)-SUM(H192)</f>
        <v>0</v>
      </c>
      <c r="J192" s="514" t="str">
        <f>H192</f>
        <v>-</v>
      </c>
      <c r="K192" s="754" t="s">
        <v>836</v>
      </c>
      <c r="L192" s="734"/>
      <c r="M192" s="734"/>
      <c r="N192" s="770"/>
      <c r="O192" s="304" t="s">
        <v>89</v>
      </c>
      <c r="Q192" s="41" t="s">
        <v>159</v>
      </c>
      <c r="R192" s="42">
        <v>0</v>
      </c>
      <c r="S192" s="42">
        <v>1</v>
      </c>
    </row>
    <row r="193" spans="3:15" x14ac:dyDescent="0.25">
      <c r="C193" s="4"/>
      <c r="D193" s="4"/>
      <c r="E193" s="4"/>
      <c r="F193" s="424"/>
      <c r="G193" s="435"/>
      <c r="H193" s="514" t="s">
        <v>521</v>
      </c>
      <c r="I193" s="444">
        <f>SUM(J193)-SUM(H193)</f>
        <v>0</v>
      </c>
      <c r="J193" s="514" t="str">
        <f>H193</f>
        <v>-</v>
      </c>
      <c r="K193" s="754" t="s">
        <v>445</v>
      </c>
      <c r="L193" s="734"/>
      <c r="M193" s="734"/>
      <c r="N193" s="770"/>
      <c r="O193" s="304" t="s">
        <v>89</v>
      </c>
    </row>
    <row r="194" spans="3:15" x14ac:dyDescent="0.25">
      <c r="C194" s="4"/>
      <c r="D194" s="4"/>
      <c r="E194" s="4"/>
      <c r="F194" s="427"/>
      <c r="G194" s="436"/>
      <c r="H194" s="519" t="s">
        <v>521</v>
      </c>
      <c r="I194" s="456">
        <f>SUM(J194)-SUM(H194)</f>
        <v>0</v>
      </c>
      <c r="J194" s="519" t="str">
        <f>H194</f>
        <v>-</v>
      </c>
      <c r="K194" s="775" t="s">
        <v>446</v>
      </c>
      <c r="L194" s="772"/>
      <c r="M194" s="772"/>
      <c r="N194" s="773"/>
      <c r="O194" s="304" t="s">
        <v>89</v>
      </c>
    </row>
    <row r="195" spans="3:15" x14ac:dyDescent="0.25">
      <c r="C195" s="203"/>
      <c r="D195" s="204"/>
      <c r="E195" s="300"/>
      <c r="F195" s="4"/>
      <c r="H195" s="300"/>
      <c r="I195" s="300"/>
      <c r="J195" s="300"/>
      <c r="O195" s="304" t="s">
        <v>89</v>
      </c>
    </row>
    <row r="196" spans="3:15" x14ac:dyDescent="0.25">
      <c r="C196" s="1149" t="s">
        <v>737</v>
      </c>
      <c r="D196" s="1150"/>
      <c r="E196" s="205" t="s">
        <v>89</v>
      </c>
      <c r="F196" s="782" t="s">
        <v>735</v>
      </c>
      <c r="G196" s="691"/>
      <c r="H196" s="788" t="s">
        <v>584</v>
      </c>
      <c r="I196" s="787"/>
      <c r="J196" s="783"/>
      <c r="K196" s="784" t="str">
        <f>K164</f>
        <v>Scenario based stressed values</v>
      </c>
      <c r="L196" s="785"/>
      <c r="M196" s="788" t="s">
        <v>586</v>
      </c>
      <c r="N196" s="787"/>
      <c r="O196" s="304" t="s">
        <v>89</v>
      </c>
    </row>
    <row r="197" spans="3:15" x14ac:dyDescent="0.25">
      <c r="C197" s="1185" t="s">
        <v>587</v>
      </c>
      <c r="D197" s="1186"/>
      <c r="E197" s="205" t="s">
        <v>89</v>
      </c>
      <c r="F197" s="695" t="s">
        <v>0</v>
      </c>
      <c r="G197" s="695" t="s">
        <v>20</v>
      </c>
      <c r="H197" s="789" t="s">
        <v>0</v>
      </c>
      <c r="I197" s="695" t="s">
        <v>20</v>
      </c>
      <c r="J197" s="695" t="s">
        <v>550</v>
      </c>
      <c r="K197" s="695" t="s">
        <v>551</v>
      </c>
      <c r="L197" s="695" t="s">
        <v>552</v>
      </c>
      <c r="M197" s="695" t="s">
        <v>0</v>
      </c>
      <c r="N197" s="695" t="s">
        <v>20</v>
      </c>
      <c r="O197" s="304" t="s">
        <v>89</v>
      </c>
    </row>
    <row r="198" spans="3:15" x14ac:dyDescent="0.25">
      <c r="C198" s="1183" t="s">
        <v>576</v>
      </c>
      <c r="D198" s="1157"/>
      <c r="E198" s="157" t="s">
        <v>89</v>
      </c>
      <c r="F198" s="520" t="s">
        <v>521</v>
      </c>
      <c r="G198" s="522" t="s">
        <v>521</v>
      </c>
      <c r="H198" s="521" t="s">
        <v>521</v>
      </c>
      <c r="I198" s="522" t="s">
        <v>521</v>
      </c>
      <c r="J198" s="478">
        <f>IF(AND(F198&lt;&gt;"-",G198&lt;&gt;"-",H198&lt;&gt;"-",I198&lt;&gt;"-"),MAX((SUM(F198)-SUM(G198))-(SUM(H198)-SUM(I198)),0),0)</f>
        <v>0</v>
      </c>
      <c r="K198" s="443">
        <f>SUM(L198)-SUM(J198)</f>
        <v>0</v>
      </c>
      <c r="L198" s="446">
        <f>IF(AND(F198&lt;&gt;"-",G198&lt;&gt;"-",M198&lt;&gt;"-",N198&lt;&gt;"-"),MAX((SUM(F198)-SUM(G198))-(SUM(M198)-SUM(N198)),0),0)</f>
        <v>0</v>
      </c>
      <c r="M198" s="521" t="s">
        <v>521</v>
      </c>
      <c r="N198" s="522" t="s">
        <v>521</v>
      </c>
      <c r="O198" s="304" t="s">
        <v>89</v>
      </c>
    </row>
    <row r="199" spans="3:15" x14ac:dyDescent="0.25">
      <c r="C199" s="1158" t="s">
        <v>577</v>
      </c>
      <c r="D199" s="1159"/>
      <c r="E199" s="155" t="s">
        <v>89</v>
      </c>
      <c r="F199" s="525" t="s">
        <v>521</v>
      </c>
      <c r="G199" s="527" t="s">
        <v>521</v>
      </c>
      <c r="H199" s="523" t="s">
        <v>521</v>
      </c>
      <c r="I199" s="524" t="s">
        <v>521</v>
      </c>
      <c r="J199" s="465">
        <f>IF(AND(F199&lt;&gt;"-",G199&lt;&gt;"-",H199&lt;&gt;"-",I199&lt;&gt;"-"),MAX((SUM(F199)-SUM(G199))-(SUM(H199)-SUM(I199)),0),0)</f>
        <v>0</v>
      </c>
      <c r="K199" s="444">
        <f>SUM(L199)-SUM(J199)</f>
        <v>0</v>
      </c>
      <c r="L199" s="447">
        <f>IF(AND(F199&lt;&gt;"-",G199&lt;&gt;"-",M199&lt;&gt;"-",N199&lt;&gt;"-"),MAX((SUM(F199)-SUM(G199))-(SUM(M199)-SUM(N199)),0),0)</f>
        <v>0</v>
      </c>
      <c r="M199" s="523" t="s">
        <v>521</v>
      </c>
      <c r="N199" s="524" t="s">
        <v>521</v>
      </c>
      <c r="O199" s="304" t="s">
        <v>89</v>
      </c>
    </row>
    <row r="200" spans="3:15" x14ac:dyDescent="0.25">
      <c r="C200" s="1183" t="s">
        <v>621</v>
      </c>
      <c r="D200" s="1157"/>
      <c r="E200" s="157" t="s">
        <v>89</v>
      </c>
      <c r="F200" s="424"/>
      <c r="G200" s="425"/>
      <c r="H200" s="437"/>
      <c r="I200" s="432"/>
      <c r="J200" s="478">
        <f>SUM(J201,J205)</f>
        <v>0</v>
      </c>
      <c r="K200" s="443">
        <f>SUM(L200)-SUM(J200)</f>
        <v>0</v>
      </c>
      <c r="L200" s="443">
        <f>SUM(L201,L205)</f>
        <v>0</v>
      </c>
      <c r="M200" s="437"/>
      <c r="N200" s="432"/>
      <c r="O200" s="304" t="s">
        <v>89</v>
      </c>
    </row>
    <row r="201" spans="3:15" x14ac:dyDescent="0.25">
      <c r="C201" s="1187" t="s">
        <v>632</v>
      </c>
      <c r="D201" s="1168"/>
      <c r="E201" s="157" t="s">
        <v>89</v>
      </c>
      <c r="F201" s="431"/>
      <c r="G201" s="432"/>
      <c r="H201" s="437"/>
      <c r="I201" s="432"/>
      <c r="J201" s="453">
        <f>IF($J202="Up",J203,J204)</f>
        <v>0</v>
      </c>
      <c r="K201" s="448">
        <f>SUM(L201)-SUM(J201)</f>
        <v>0</v>
      </c>
      <c r="L201" s="455">
        <f>IF($J202="Up",L203,L204)</f>
        <v>0</v>
      </c>
      <c r="M201" s="437"/>
      <c r="N201" s="432"/>
      <c r="O201" s="304" t="s">
        <v>89</v>
      </c>
    </row>
    <row r="202" spans="3:15" x14ac:dyDescent="0.25">
      <c r="C202" s="1188" t="s">
        <v>633</v>
      </c>
      <c r="D202" s="1189"/>
      <c r="E202" s="155" t="s">
        <v>89</v>
      </c>
      <c r="F202" s="424"/>
      <c r="G202" s="425"/>
      <c r="H202" s="435"/>
      <c r="I202" s="425"/>
      <c r="J202" s="1160" t="str">
        <f>IF(SUM(L203)&gt;SUM(L204),"Up","Down")</f>
        <v>Down</v>
      </c>
      <c r="K202" s="1161"/>
      <c r="L202" s="1162"/>
      <c r="M202" s="435"/>
      <c r="N202" s="425"/>
      <c r="O202" s="304" t="s">
        <v>89</v>
      </c>
    </row>
    <row r="203" spans="3:15" x14ac:dyDescent="0.25">
      <c r="C203" s="1169" t="s">
        <v>443</v>
      </c>
      <c r="D203" s="1170"/>
      <c r="E203" s="155" t="s">
        <v>89</v>
      </c>
      <c r="F203" s="515" t="s">
        <v>521</v>
      </c>
      <c r="G203" s="524" t="s">
        <v>521</v>
      </c>
      <c r="H203" s="523" t="s">
        <v>521</v>
      </c>
      <c r="I203" s="524" t="s">
        <v>521</v>
      </c>
      <c r="J203" s="465">
        <f t="shared" ref="J203:J212" si="10">IF(AND(F203&lt;&gt;"-",G203&lt;&gt;"-",H203&lt;&gt;"-",I203&lt;&gt;"-"),MAX((SUM(F203)-SUM(G203))-(SUM(H203)-SUM(I203)),0),0)</f>
        <v>0</v>
      </c>
      <c r="K203" s="444">
        <f t="shared" ref="K203:K212" si="11">SUM(L203)-SUM(J203)</f>
        <v>0</v>
      </c>
      <c r="L203" s="447">
        <f t="shared" ref="L203:L212" si="12">IF(AND(F203&lt;&gt;"-",G203&lt;&gt;"-",M203&lt;&gt;"-",N203&lt;&gt;"-"),MAX((SUM(F203)-SUM(G203))-(SUM(M203)-SUM(N203)),0),0)</f>
        <v>0</v>
      </c>
      <c r="M203" s="523" t="s">
        <v>521</v>
      </c>
      <c r="N203" s="524" t="s">
        <v>521</v>
      </c>
      <c r="O203" s="304" t="s">
        <v>89</v>
      </c>
    </row>
    <row r="204" spans="3:15" x14ac:dyDescent="0.25">
      <c r="C204" s="1171" t="s">
        <v>444</v>
      </c>
      <c r="D204" s="1172"/>
      <c r="E204" s="161" t="s">
        <v>89</v>
      </c>
      <c r="F204" s="525" t="s">
        <v>521</v>
      </c>
      <c r="G204" s="527" t="s">
        <v>521</v>
      </c>
      <c r="H204" s="526" t="s">
        <v>521</v>
      </c>
      <c r="I204" s="527" t="s">
        <v>521</v>
      </c>
      <c r="J204" s="473">
        <f t="shared" si="10"/>
        <v>0</v>
      </c>
      <c r="K204" s="456">
        <f t="shared" si="11"/>
        <v>0</v>
      </c>
      <c r="L204" s="479">
        <f t="shared" si="12"/>
        <v>0</v>
      </c>
      <c r="M204" s="526" t="s">
        <v>521</v>
      </c>
      <c r="N204" s="527" t="s">
        <v>521</v>
      </c>
      <c r="O204" s="304" t="s">
        <v>89</v>
      </c>
    </row>
    <row r="205" spans="3:15" x14ac:dyDescent="0.25">
      <c r="C205" s="1190" t="s">
        <v>634</v>
      </c>
      <c r="D205" s="1191"/>
      <c r="E205" s="161" t="s">
        <v>89</v>
      </c>
      <c r="F205" s="525" t="s">
        <v>521</v>
      </c>
      <c r="G205" s="527" t="s">
        <v>521</v>
      </c>
      <c r="H205" s="526" t="s">
        <v>521</v>
      </c>
      <c r="I205" s="527" t="s">
        <v>521</v>
      </c>
      <c r="J205" s="473">
        <f t="shared" si="10"/>
        <v>0</v>
      </c>
      <c r="K205" s="456">
        <f t="shared" si="11"/>
        <v>0</v>
      </c>
      <c r="L205" s="479">
        <f t="shared" si="12"/>
        <v>0</v>
      </c>
      <c r="M205" s="526" t="s">
        <v>521</v>
      </c>
      <c r="N205" s="527" t="s">
        <v>521</v>
      </c>
      <c r="O205" s="304" t="s">
        <v>89</v>
      </c>
    </row>
    <row r="206" spans="3:15" x14ac:dyDescent="0.25">
      <c r="C206" s="1183" t="s">
        <v>622</v>
      </c>
      <c r="D206" s="1157"/>
      <c r="E206" s="157" t="s">
        <v>89</v>
      </c>
      <c r="F206" s="431"/>
      <c r="G206" s="432"/>
      <c r="H206" s="437"/>
      <c r="I206" s="432"/>
      <c r="J206" s="475">
        <f>IF($J207="Up",J208,IF($J207="Down",J209,J210))</f>
        <v>0</v>
      </c>
      <c r="K206" s="448">
        <f>SUM(L206)-SUM(J206)</f>
        <v>0</v>
      </c>
      <c r="L206" s="448">
        <f>IF($J207="Up",L208,IF($J207="Down",L209,L210))</f>
        <v>0</v>
      </c>
      <c r="M206" s="437"/>
      <c r="N206" s="432"/>
      <c r="O206" s="304" t="s">
        <v>89</v>
      </c>
    </row>
    <row r="207" spans="3:15" x14ac:dyDescent="0.25">
      <c r="C207" s="1158" t="s">
        <v>623</v>
      </c>
      <c r="D207" s="1159"/>
      <c r="E207" s="155" t="s">
        <v>89</v>
      </c>
      <c r="F207" s="424"/>
      <c r="G207" s="425"/>
      <c r="H207" s="435"/>
      <c r="I207" s="425"/>
      <c r="J207" s="1160" t="str">
        <f>IF(MAX(L208:L210)=L209,"Down",IF(MAX(L208:L210)=L208,"Up","Mass"))</f>
        <v>Down</v>
      </c>
      <c r="K207" s="1161"/>
      <c r="L207" s="1162"/>
      <c r="M207" s="435"/>
      <c r="N207" s="425"/>
      <c r="O207" s="304" t="s">
        <v>89</v>
      </c>
    </row>
    <row r="208" spans="3:15" x14ac:dyDescent="0.25">
      <c r="C208" s="1176" t="s">
        <v>624</v>
      </c>
      <c r="D208" s="1159"/>
      <c r="E208" s="155" t="s">
        <v>89</v>
      </c>
      <c r="F208" s="566" t="s">
        <v>521</v>
      </c>
      <c r="G208" s="568" t="s">
        <v>521</v>
      </c>
      <c r="H208" s="567" t="s">
        <v>521</v>
      </c>
      <c r="I208" s="568" t="s">
        <v>521</v>
      </c>
      <c r="J208" s="465">
        <f>IF(AND(F208&lt;&gt;"-",G208&lt;&gt;"-",H208&lt;&gt;"-",I208&lt;&gt;"-"),MAX((SUM(F208)-SUM(G208))-(SUM(H208)-SUM(I208)),0),0)</f>
        <v>0</v>
      </c>
      <c r="K208" s="444">
        <f>SUM(L208)-SUM(J208)</f>
        <v>0</v>
      </c>
      <c r="L208" s="447">
        <f>IF(AND(F208&lt;&gt;"-",G208&lt;&gt;"-",M208&lt;&gt;"-",N208&lt;&gt;"-"),MAX((SUM(F208)-SUM(G208))-(SUM(M208)-SUM(N208)),0),0)</f>
        <v>0</v>
      </c>
      <c r="M208" s="567" t="s">
        <v>521</v>
      </c>
      <c r="N208" s="568" t="s">
        <v>521</v>
      </c>
      <c r="O208" s="304" t="s">
        <v>89</v>
      </c>
    </row>
    <row r="209" spans="1:21" x14ac:dyDescent="0.25">
      <c r="C209" s="1176" t="s">
        <v>625</v>
      </c>
      <c r="D209" s="1159"/>
      <c r="E209" s="155" t="s">
        <v>89</v>
      </c>
      <c r="F209" s="566" t="s">
        <v>521</v>
      </c>
      <c r="G209" s="568" t="s">
        <v>521</v>
      </c>
      <c r="H209" s="567" t="s">
        <v>521</v>
      </c>
      <c r="I209" s="568" t="s">
        <v>521</v>
      </c>
      <c r="J209" s="465">
        <f>IF(AND(F209&lt;&gt;"-",G209&lt;&gt;"-",H209&lt;&gt;"-",I209&lt;&gt;"-"),MAX((SUM(F209)-SUM(G209))-(SUM(H209)-SUM(I209)),0),0)</f>
        <v>0</v>
      </c>
      <c r="K209" s="444">
        <f>SUM(L209)-SUM(J209)</f>
        <v>0</v>
      </c>
      <c r="L209" s="447">
        <f>IF(AND(F209&lt;&gt;"-",G209&lt;&gt;"-",M209&lt;&gt;"-",N209&lt;&gt;"-"),MAX((SUM(F209)-SUM(G209))-(SUM(M209)-SUM(N209)),0),0)</f>
        <v>0</v>
      </c>
      <c r="M209" s="567" t="s">
        <v>521</v>
      </c>
      <c r="N209" s="568" t="s">
        <v>521</v>
      </c>
      <c r="O209" s="304" t="s">
        <v>89</v>
      </c>
    </row>
    <row r="210" spans="1:21" x14ac:dyDescent="0.25">
      <c r="C210" s="1177" t="s">
        <v>626</v>
      </c>
      <c r="D210" s="1178"/>
      <c r="E210" s="161" t="s">
        <v>89</v>
      </c>
      <c r="F210" s="569" t="s">
        <v>521</v>
      </c>
      <c r="G210" s="571" t="s">
        <v>521</v>
      </c>
      <c r="H210" s="570" t="s">
        <v>521</v>
      </c>
      <c r="I210" s="571" t="s">
        <v>521</v>
      </c>
      <c r="J210" s="473">
        <f>IF(AND(F210&lt;&gt;"-",G210&lt;&gt;"-",H210&lt;&gt;"-",I210&lt;&gt;"-"),MAX((SUM(F210)-SUM(G210))-(SUM(H210)-SUM(I210)),0),0)</f>
        <v>0</v>
      </c>
      <c r="K210" s="456">
        <f>SUM(L210)-SUM(J210)</f>
        <v>0</v>
      </c>
      <c r="L210" s="479">
        <f>IF(AND(F210&lt;&gt;"-",G210&lt;&gt;"-",M210&lt;&gt;"-",N210&lt;&gt;"-"),MAX((SUM(F210)-SUM(G210))-(SUM(M210)-SUM(N210)),0),0)</f>
        <v>0</v>
      </c>
      <c r="M210" s="570" t="s">
        <v>521</v>
      </c>
      <c r="N210" s="571" t="s">
        <v>521</v>
      </c>
      <c r="O210" s="304" t="s">
        <v>89</v>
      </c>
    </row>
    <row r="211" spans="1:21" x14ac:dyDescent="0.25">
      <c r="C211" s="1158" t="s">
        <v>147</v>
      </c>
      <c r="D211" s="1159"/>
      <c r="E211" s="155" t="s">
        <v>89</v>
      </c>
      <c r="F211" s="515" t="s">
        <v>521</v>
      </c>
      <c r="G211" s="524" t="s">
        <v>521</v>
      </c>
      <c r="H211" s="523" t="s">
        <v>521</v>
      </c>
      <c r="I211" s="524" t="s">
        <v>521</v>
      </c>
      <c r="J211" s="465">
        <f t="shared" si="10"/>
        <v>0</v>
      </c>
      <c r="K211" s="444">
        <f t="shared" si="11"/>
        <v>0</v>
      </c>
      <c r="L211" s="447">
        <f t="shared" si="12"/>
        <v>0</v>
      </c>
      <c r="M211" s="523" t="s">
        <v>521</v>
      </c>
      <c r="N211" s="524" t="s">
        <v>521</v>
      </c>
      <c r="O211" s="304" t="s">
        <v>89</v>
      </c>
    </row>
    <row r="212" spans="1:21" x14ac:dyDescent="0.25">
      <c r="C212" s="1184" t="s">
        <v>65</v>
      </c>
      <c r="D212" s="1178"/>
      <c r="E212" s="161" t="s">
        <v>89</v>
      </c>
      <c r="F212" s="525" t="s">
        <v>521</v>
      </c>
      <c r="G212" s="527" t="s">
        <v>521</v>
      </c>
      <c r="H212" s="526" t="s">
        <v>521</v>
      </c>
      <c r="I212" s="527" t="s">
        <v>521</v>
      </c>
      <c r="J212" s="473">
        <f t="shared" si="10"/>
        <v>0</v>
      </c>
      <c r="K212" s="456">
        <f t="shared" si="11"/>
        <v>0</v>
      </c>
      <c r="L212" s="479">
        <f t="shared" si="12"/>
        <v>0</v>
      </c>
      <c r="M212" s="526" t="s">
        <v>521</v>
      </c>
      <c r="N212" s="527" t="s">
        <v>521</v>
      </c>
      <c r="O212" s="304" t="s">
        <v>89</v>
      </c>
    </row>
    <row r="213" spans="1:21" x14ac:dyDescent="0.25">
      <c r="C213" s="4"/>
      <c r="D213" s="4"/>
      <c r="E213" s="4"/>
      <c r="F213" s="4"/>
      <c r="O213" s="304" t="s">
        <v>89</v>
      </c>
    </row>
    <row r="214" spans="1:21" x14ac:dyDescent="0.25">
      <c r="C214" s="4"/>
      <c r="D214" s="4"/>
      <c r="E214" s="4"/>
      <c r="F214" s="4"/>
      <c r="O214" s="304" t="s">
        <v>89</v>
      </c>
    </row>
    <row r="215" spans="1:21" x14ac:dyDescent="0.25">
      <c r="C215" s="1149" t="s">
        <v>1096</v>
      </c>
      <c r="D215" s="1150"/>
      <c r="E215" s="4"/>
      <c r="F215" s="4"/>
      <c r="O215" s="304" t="s">
        <v>89</v>
      </c>
    </row>
    <row r="216" spans="1:21" x14ac:dyDescent="0.25">
      <c r="A216" s="134" t="s">
        <v>1095</v>
      </c>
      <c r="B216" s="135" t="str">
        <f>HYPERLINK(_TS_&amp;"#"&amp;SUBSTITUTE(A216,".","_"),"Open")</f>
        <v>Open</v>
      </c>
      <c r="C216" s="790" t="s">
        <v>615</v>
      </c>
      <c r="D216" s="443">
        <f>3*SUM(D217)*SUM(D218)</f>
        <v>0</v>
      </c>
      <c r="E216" s="4"/>
      <c r="F216" s="4"/>
      <c r="O216" s="304" t="s">
        <v>89</v>
      </c>
    </row>
    <row r="217" spans="1:21" x14ac:dyDescent="0.25">
      <c r="C217" s="791" t="s">
        <v>842</v>
      </c>
      <c r="D217" s="444">
        <f>SUM(K222:K225)</f>
        <v>0</v>
      </c>
      <c r="E217" s="4"/>
      <c r="F217" s="4"/>
      <c r="O217" s="304" t="s">
        <v>89</v>
      </c>
    </row>
    <row r="218" spans="1:21" x14ac:dyDescent="0.25">
      <c r="C218" s="792" t="s">
        <v>843</v>
      </c>
      <c r="D218" s="360">
        <f>IF(AND(D217,D220),D220/D217,0)</f>
        <v>0</v>
      </c>
      <c r="E218" s="4"/>
      <c r="F218" s="4"/>
      <c r="O218" s="304" t="s">
        <v>89</v>
      </c>
    </row>
    <row r="219" spans="1:21" x14ac:dyDescent="0.25">
      <c r="C219" s="4"/>
      <c r="D219" s="4"/>
      <c r="E219" s="4"/>
      <c r="F219" s="4"/>
      <c r="O219" s="304" t="s">
        <v>89</v>
      </c>
    </row>
    <row r="220" spans="1:21" ht="15.75" thickBot="1" x14ac:dyDescent="0.3">
      <c r="C220" s="793" t="s">
        <v>1023</v>
      </c>
      <c r="D220" s="451">
        <f>SQRT(SUMPRODUCT(D222:D225,MMULT($R$222:$U$225,D222:D225*1)))</f>
        <v>0</v>
      </c>
      <c r="E220" s="4"/>
      <c r="F220" s="735" t="s">
        <v>853</v>
      </c>
      <c r="G220" s="692"/>
      <c r="H220" s="692"/>
      <c r="I220" s="692"/>
      <c r="J220" s="691"/>
      <c r="K220" s="735" t="s">
        <v>842</v>
      </c>
      <c r="L220" s="692"/>
      <c r="M220" s="692"/>
      <c r="N220" s="691"/>
      <c r="O220" s="304" t="s">
        <v>89</v>
      </c>
    </row>
    <row r="221" spans="1:21" ht="37.5" thickBot="1" x14ac:dyDescent="0.3">
      <c r="C221" s="794" t="s">
        <v>844</v>
      </c>
      <c r="D221" s="795" t="s">
        <v>1017</v>
      </c>
      <c r="E221" s="157" t="s">
        <v>89</v>
      </c>
      <c r="F221" s="796" t="s">
        <v>1109</v>
      </c>
      <c r="G221" s="797" t="s">
        <v>1022</v>
      </c>
      <c r="H221" s="797" t="s">
        <v>1021</v>
      </c>
      <c r="I221" s="797" t="s">
        <v>852</v>
      </c>
      <c r="J221" s="797" t="s">
        <v>851</v>
      </c>
      <c r="K221" s="796" t="s">
        <v>1015</v>
      </c>
      <c r="L221" s="797" t="s">
        <v>850</v>
      </c>
      <c r="M221" s="797" t="s">
        <v>1110</v>
      </c>
      <c r="N221" s="797" t="s">
        <v>1111</v>
      </c>
      <c r="O221" s="304" t="s">
        <v>89</v>
      </c>
      <c r="P221" s="213" t="s">
        <v>730</v>
      </c>
      <c r="Q221" s="214" t="s">
        <v>1013</v>
      </c>
      <c r="R221" s="215">
        <v>1</v>
      </c>
      <c r="S221" s="215">
        <v>2</v>
      </c>
      <c r="T221" s="215">
        <v>3</v>
      </c>
      <c r="U221" s="215">
        <v>4</v>
      </c>
    </row>
    <row r="222" spans="1:21" ht="15.75" thickBot="1" x14ac:dyDescent="0.3">
      <c r="B222" s="59"/>
      <c r="C222" s="679" t="s">
        <v>1092</v>
      </c>
      <c r="D222" s="450">
        <f>SUM(K222)*SUM(F222)</f>
        <v>0</v>
      </c>
      <c r="E222" s="155" t="s">
        <v>89</v>
      </c>
      <c r="F222" s="357">
        <f>IF(SUM(M222:N222),SQRT(H222^2+H222*G222+G222^2)/SUM(M222:N222),0)</f>
        <v>0</v>
      </c>
      <c r="G222" s="450">
        <f>SUM(M222)*SUM(I222)</f>
        <v>0</v>
      </c>
      <c r="H222" s="385">
        <f>'Shared-2013'!H137</f>
        <v>0</v>
      </c>
      <c r="I222" s="405">
        <v>0.05</v>
      </c>
      <c r="J222" s="390">
        <f>'Shared-2013'!D137</f>
        <v>0.05</v>
      </c>
      <c r="K222" s="450">
        <f>SUM(M222:N222)*(75%+25%*IF(L222="-",1,SUM(L222)))</f>
        <v>0</v>
      </c>
      <c r="L222" s="355" t="s">
        <v>521</v>
      </c>
      <c r="M222" s="528" t="s">
        <v>521</v>
      </c>
      <c r="N222" s="385">
        <f>SUM('Shared-2013'!D131)</f>
        <v>0</v>
      </c>
      <c r="O222" s="304" t="s">
        <v>89</v>
      </c>
      <c r="P222" s="134" t="s">
        <v>1093</v>
      </c>
      <c r="Q222" s="217" t="s">
        <v>1092</v>
      </c>
      <c r="R222" s="218">
        <v>1</v>
      </c>
      <c r="S222" s="219">
        <f>R223</f>
        <v>0.5</v>
      </c>
      <c r="T222" s="219">
        <f>R224</f>
        <v>0.5</v>
      </c>
      <c r="U222" s="219">
        <f>R225</f>
        <v>0.5</v>
      </c>
    </row>
    <row r="223" spans="1:21" ht="15.75" thickBot="1" x14ac:dyDescent="0.3">
      <c r="B223" s="59"/>
      <c r="C223" s="680" t="s">
        <v>1090</v>
      </c>
      <c r="D223" s="449">
        <f>SUM(K223)*SUM(F223)</f>
        <v>0</v>
      </c>
      <c r="E223" s="155" t="s">
        <v>89</v>
      </c>
      <c r="F223" s="358">
        <f>IF(SUM(M223:N223),SQRT(H223^2+H223*G223+G223^2)/SUM(M223:N223),0)</f>
        <v>0</v>
      </c>
      <c r="G223" s="449">
        <f>SUM(M223)*SUM(I223)</f>
        <v>0</v>
      </c>
      <c r="H223" s="392">
        <f>'Shared-2013'!H138</f>
        <v>0</v>
      </c>
      <c r="I223" s="406">
        <v>0.14000000000000001</v>
      </c>
      <c r="J223" s="391">
        <f>'Shared-2013'!D138</f>
        <v>0.09</v>
      </c>
      <c r="K223" s="449">
        <f>SUM(M223:N223)*(75%+25%*IF(L223="-",1,SUM(L223)))</f>
        <v>0</v>
      </c>
      <c r="L223" s="356" t="s">
        <v>521</v>
      </c>
      <c r="M223" s="514" t="s">
        <v>521</v>
      </c>
      <c r="N223" s="392">
        <f>SUM('Shared-2013'!D132)</f>
        <v>0</v>
      </c>
      <c r="O223" s="304" t="s">
        <v>89</v>
      </c>
      <c r="P223" s="135" t="str">
        <f>HYPERLINK(_TS_&amp;"#"&amp;SUBSTITUTE(P222,".","_"),"Open")</f>
        <v>Open</v>
      </c>
      <c r="Q223" s="217" t="s">
        <v>1090</v>
      </c>
      <c r="R223" s="222">
        <v>0.5</v>
      </c>
      <c r="S223" s="223">
        <v>1</v>
      </c>
      <c r="T223" s="224">
        <f>S224</f>
        <v>0.5</v>
      </c>
      <c r="U223" s="224">
        <f>S225</f>
        <v>0.5</v>
      </c>
    </row>
    <row r="224" spans="1:21" ht="15.75" thickBot="1" x14ac:dyDescent="0.3">
      <c r="B224" s="59"/>
      <c r="C224" s="680" t="s">
        <v>1091</v>
      </c>
      <c r="D224" s="449">
        <f>SUM(K224)*SUM(F224)</f>
        <v>0</v>
      </c>
      <c r="E224" s="155" t="s">
        <v>89</v>
      </c>
      <c r="F224" s="358">
        <f>IF(SUM(M224:N224),SQRT(H224^2+H224*G224+G224^2)/SUM(M224:N224),0)</f>
        <v>0</v>
      </c>
      <c r="G224" s="449">
        <f>SUM(M224)*SUM(I224)</f>
        <v>0</v>
      </c>
      <c r="H224" s="392">
        <f>'Shared-2013'!H139</f>
        <v>0</v>
      </c>
      <c r="I224" s="406">
        <v>0.11</v>
      </c>
      <c r="J224" s="391">
        <f>'Shared-2013'!D139</f>
        <v>0.08</v>
      </c>
      <c r="K224" s="449">
        <f>SUM(M224:N224)*(75%+25%*IF(L224="-",1,SUM(L224)))</f>
        <v>0</v>
      </c>
      <c r="L224" s="356" t="s">
        <v>521</v>
      </c>
      <c r="M224" s="514" t="s">
        <v>521</v>
      </c>
      <c r="N224" s="392">
        <f>SUM('Shared-2013'!D133)</f>
        <v>0</v>
      </c>
      <c r="O224" s="304" t="s">
        <v>89</v>
      </c>
      <c r="Q224" s="217" t="s">
        <v>1091</v>
      </c>
      <c r="R224" s="222">
        <v>0.5</v>
      </c>
      <c r="S224" s="223">
        <v>0.5</v>
      </c>
      <c r="T224" s="223">
        <v>1</v>
      </c>
      <c r="U224" s="224">
        <f>T225</f>
        <v>0.5</v>
      </c>
    </row>
    <row r="225" spans="1:29" ht="15.75" thickBot="1" x14ac:dyDescent="0.3">
      <c r="B225" s="59"/>
      <c r="C225" s="681" t="s">
        <v>1088</v>
      </c>
      <c r="D225" s="441">
        <f>SUM(K225)*SUM(F225)</f>
        <v>0</v>
      </c>
      <c r="E225" s="161" t="s">
        <v>89</v>
      </c>
      <c r="F225" s="359">
        <f>IF(SUM(M225:N225),SQRT(H225^2+H225*G225+G225^2)/SUM(M225:N225),0)</f>
        <v>0</v>
      </c>
      <c r="G225" s="441">
        <f>SUM(M225)*SUM(I225)</f>
        <v>0</v>
      </c>
      <c r="H225" s="394">
        <f>'Shared-2013'!H140</f>
        <v>0</v>
      </c>
      <c r="I225" s="407">
        <v>0.2</v>
      </c>
      <c r="J225" s="393">
        <f>'Shared-2013'!D140</f>
        <v>0.17</v>
      </c>
      <c r="K225" s="441">
        <f>SUM(M225:N225)*(75%+25%*IF(L225="-",1,SUM(L225)))</f>
        <v>0</v>
      </c>
      <c r="L225" s="362" t="s">
        <v>521</v>
      </c>
      <c r="M225" s="519" t="s">
        <v>521</v>
      </c>
      <c r="N225" s="394">
        <f>SUM('Shared-2013'!D134)</f>
        <v>0</v>
      </c>
      <c r="O225" s="304" t="s">
        <v>89</v>
      </c>
      <c r="Q225" s="217" t="s">
        <v>1088</v>
      </c>
      <c r="R225" s="222">
        <v>0.5</v>
      </c>
      <c r="S225" s="223">
        <v>0.5</v>
      </c>
      <c r="T225" s="223">
        <v>0.5</v>
      </c>
      <c r="U225" s="223">
        <v>1</v>
      </c>
    </row>
    <row r="226" spans="1:29" x14ac:dyDescent="0.25">
      <c r="C226" s="4"/>
      <c r="D226" s="4"/>
      <c r="E226" s="4"/>
      <c r="F226" s="4"/>
      <c r="O226" s="304" t="s">
        <v>89</v>
      </c>
    </row>
    <row r="227" spans="1:29" x14ac:dyDescent="0.25">
      <c r="C227" s="4"/>
      <c r="D227" s="4"/>
      <c r="E227" s="4"/>
      <c r="F227" s="782" t="s">
        <v>735</v>
      </c>
      <c r="G227" s="691"/>
      <c r="H227" s="782" t="s">
        <v>999</v>
      </c>
      <c r="I227" s="691"/>
      <c r="O227" s="304" t="s">
        <v>89</v>
      </c>
    </row>
    <row r="228" spans="1:29" x14ac:dyDescent="0.25">
      <c r="C228" s="4"/>
      <c r="D228" s="4"/>
      <c r="E228" s="4"/>
      <c r="F228" s="695" t="s">
        <v>0</v>
      </c>
      <c r="G228" s="695" t="s">
        <v>20</v>
      </c>
      <c r="H228" s="789" t="s">
        <v>0</v>
      </c>
      <c r="I228" s="695" t="s">
        <v>20</v>
      </c>
      <c r="O228" s="304" t="s">
        <v>89</v>
      </c>
    </row>
    <row r="229" spans="1:29" x14ac:dyDescent="0.25">
      <c r="C229" s="798" t="s">
        <v>1097</v>
      </c>
      <c r="D229" s="448">
        <f>IF(AND(F229&lt;&gt;"-",G229&lt;&gt;"-",H229&lt;&gt;"-",I229&lt;&gt;"-"),MAX((SUM(F229)-SUM(G229))-(SUM(H229)-SUM(I229)),0),0)</f>
        <v>0</v>
      </c>
      <c r="E229" s="206" t="s">
        <v>89</v>
      </c>
      <c r="F229" s="529" t="s">
        <v>521</v>
      </c>
      <c r="G229" s="517" t="s">
        <v>521</v>
      </c>
      <c r="H229" s="933" t="s">
        <v>521</v>
      </c>
      <c r="I229" s="517" t="s">
        <v>521</v>
      </c>
      <c r="O229" s="304" t="s">
        <v>89</v>
      </c>
    </row>
    <row r="230" spans="1:29" x14ac:dyDescent="0.25">
      <c r="C230" s="4"/>
      <c r="D230" s="4"/>
      <c r="E230" s="4"/>
      <c r="F230" s="4"/>
      <c r="O230" s="304" t="s">
        <v>89</v>
      </c>
    </row>
    <row r="231" spans="1:29" x14ac:dyDescent="0.25">
      <c r="C231" s="1043" t="s">
        <v>1047</v>
      </c>
      <c r="D231" s="1111" t="str">
        <f>$D$63</f>
        <v>Alap</v>
      </c>
      <c r="E231" s="4"/>
      <c r="F231" s="4"/>
      <c r="O231" s="304" t="s">
        <v>89</v>
      </c>
    </row>
    <row r="232" spans="1:29" x14ac:dyDescent="0.25">
      <c r="C232" s="1045"/>
      <c r="D232" s="1112"/>
      <c r="E232" s="4"/>
      <c r="F232" s="4"/>
      <c r="O232" s="304" t="s">
        <v>89</v>
      </c>
    </row>
    <row r="233" spans="1:29" x14ac:dyDescent="0.25">
      <c r="C233" s="4"/>
      <c r="D233" s="4"/>
      <c r="E233" s="4"/>
      <c r="F233" s="4"/>
      <c r="O233" s="304" t="s">
        <v>89</v>
      </c>
    </row>
    <row r="234" spans="1:29" x14ac:dyDescent="0.25">
      <c r="A234" s="134" t="s">
        <v>841</v>
      </c>
      <c r="B234" s="135" t="str">
        <f>HYPERLINK(_TS_&amp;"#"&amp;SUBSTITUTE(A234,".","_"),"Open")</f>
        <v>Open</v>
      </c>
      <c r="C234" s="790" t="s">
        <v>615</v>
      </c>
      <c r="D234" s="443">
        <f>3*SUM(D235)*SUM(D236)</f>
        <v>0</v>
      </c>
      <c r="E234" s="4"/>
      <c r="F234" s="4"/>
      <c r="O234" s="304" t="s">
        <v>89</v>
      </c>
    </row>
    <row r="235" spans="1:29" x14ac:dyDescent="0.25">
      <c r="C235" s="791" t="s">
        <v>842</v>
      </c>
      <c r="D235" s="444">
        <f>SUM(K240:K251)</f>
        <v>0</v>
      </c>
      <c r="E235" s="4"/>
      <c r="F235" s="4"/>
      <c r="O235" s="304" t="s">
        <v>89</v>
      </c>
    </row>
    <row r="236" spans="1:29" x14ac:dyDescent="0.25">
      <c r="C236" s="792" t="s">
        <v>843</v>
      </c>
      <c r="D236" s="360">
        <f>IF(AND(D235,D238),D238/D235,0)</f>
        <v>0</v>
      </c>
      <c r="E236" s="4"/>
      <c r="F236" s="4"/>
      <c r="O236" s="304" t="s">
        <v>89</v>
      </c>
    </row>
    <row r="237" spans="1:29" ht="7.5" customHeight="1" x14ac:dyDescent="0.25">
      <c r="C237" s="4"/>
      <c r="D237" s="4"/>
      <c r="E237" s="4"/>
      <c r="F237" s="4"/>
      <c r="O237" s="304" t="s">
        <v>89</v>
      </c>
    </row>
    <row r="238" spans="1:29" ht="15.75" thickBot="1" x14ac:dyDescent="0.3">
      <c r="C238" s="793" t="s">
        <v>1023</v>
      </c>
      <c r="D238" s="451">
        <f>SQRT(SUMPRODUCT(D240:D251,MMULT($R$240:$AC$251,D240:D251*1)))</f>
        <v>0</v>
      </c>
      <c r="E238" s="4"/>
      <c r="F238" s="735" t="s">
        <v>853</v>
      </c>
      <c r="G238" s="692"/>
      <c r="H238" s="692"/>
      <c r="I238" s="692"/>
      <c r="J238" s="691"/>
      <c r="K238" s="735" t="s">
        <v>842</v>
      </c>
      <c r="L238" s="692"/>
      <c r="M238" s="692"/>
      <c r="N238" s="691"/>
      <c r="O238" s="304" t="s">
        <v>89</v>
      </c>
    </row>
    <row r="239" spans="1:29" ht="37.5" thickBot="1" x14ac:dyDescent="0.3">
      <c r="C239" s="794" t="s">
        <v>844</v>
      </c>
      <c r="D239" s="795" t="s">
        <v>1017</v>
      </c>
      <c r="E239" s="157" t="s">
        <v>89</v>
      </c>
      <c r="F239" s="796" t="s">
        <v>1109</v>
      </c>
      <c r="G239" s="797" t="s">
        <v>1022</v>
      </c>
      <c r="H239" s="797" t="s">
        <v>1021</v>
      </c>
      <c r="I239" s="797" t="s">
        <v>852</v>
      </c>
      <c r="J239" s="797" t="s">
        <v>851</v>
      </c>
      <c r="K239" s="796" t="s">
        <v>1015</v>
      </c>
      <c r="L239" s="797" t="s">
        <v>850</v>
      </c>
      <c r="M239" s="797" t="s">
        <v>1110</v>
      </c>
      <c r="N239" s="797" t="s">
        <v>1111</v>
      </c>
      <c r="O239" s="304" t="s">
        <v>89</v>
      </c>
      <c r="P239" s="213" t="s">
        <v>730</v>
      </c>
      <c r="Q239" s="214" t="s">
        <v>1013</v>
      </c>
      <c r="R239" s="215">
        <v>1</v>
      </c>
      <c r="S239" s="215">
        <v>2</v>
      </c>
      <c r="T239" s="215">
        <v>3</v>
      </c>
      <c r="U239" s="215">
        <v>4</v>
      </c>
      <c r="V239" s="215">
        <v>5</v>
      </c>
      <c r="W239" s="215">
        <v>6</v>
      </c>
      <c r="X239" s="215">
        <v>7</v>
      </c>
      <c r="Y239" s="215">
        <v>8</v>
      </c>
      <c r="Z239" s="215">
        <v>9</v>
      </c>
      <c r="AA239" s="215">
        <v>10</v>
      </c>
      <c r="AB239" s="215">
        <v>11</v>
      </c>
      <c r="AC239" s="215">
        <v>12</v>
      </c>
    </row>
    <row r="240" spans="1:29" ht="15.75" thickBot="1" x14ac:dyDescent="0.3">
      <c r="B240" s="59">
        <v>1</v>
      </c>
      <c r="C240" s="679" t="s">
        <v>855</v>
      </c>
      <c r="D240" s="450">
        <f t="shared" ref="D240:D251" si="13">SUM(K240)*SUM(F240)</f>
        <v>0</v>
      </c>
      <c r="E240" s="155" t="s">
        <v>89</v>
      </c>
      <c r="F240" s="357">
        <f t="shared" ref="F240:F251" si="14">IF(SUM(M240:N240),SQRT(H240^2+H240*G240+G240^2)/SUM(M240:N240),0)</f>
        <v>0</v>
      </c>
      <c r="G240" s="450">
        <f t="shared" ref="G240:G251" si="15">SUM(M240)*SUM(I240)</f>
        <v>0</v>
      </c>
      <c r="H240" s="385">
        <f>'Shared-2013'!H115</f>
        <v>0</v>
      </c>
      <c r="I240" s="405">
        <v>0.09</v>
      </c>
      <c r="J240" s="390">
        <f>'Shared-2013'!D115</f>
        <v>0.1</v>
      </c>
      <c r="K240" s="450">
        <f t="shared" ref="K240:K251" si="16">SUM(M240:N240)*(75%+25%*IF(L240="-",1,SUM(L240)))</f>
        <v>0</v>
      </c>
      <c r="L240" s="355" t="s">
        <v>521</v>
      </c>
      <c r="M240" s="528" t="s">
        <v>521</v>
      </c>
      <c r="N240" s="385">
        <f>SUM('Shared-2013'!D101)</f>
        <v>0</v>
      </c>
      <c r="O240" s="304" t="s">
        <v>89</v>
      </c>
      <c r="P240" s="134" t="s">
        <v>1012</v>
      </c>
      <c r="Q240" s="217" t="s">
        <v>864</v>
      </c>
      <c r="R240" s="218">
        <v>1</v>
      </c>
      <c r="S240" s="219">
        <f>R241</f>
        <v>0.5</v>
      </c>
      <c r="T240" s="219">
        <f>R242</f>
        <v>0.5</v>
      </c>
      <c r="U240" s="219">
        <f>R243</f>
        <v>0.25</v>
      </c>
      <c r="V240" s="220">
        <f>R244</f>
        <v>0.5</v>
      </c>
      <c r="W240" s="220">
        <f>R245</f>
        <v>0.25</v>
      </c>
      <c r="X240" s="220">
        <f>R246</f>
        <v>0.5</v>
      </c>
      <c r="Y240" s="220">
        <f>R247</f>
        <v>0.25</v>
      </c>
      <c r="Z240" s="220">
        <f>R248</f>
        <v>0.5</v>
      </c>
      <c r="AA240" s="220">
        <f>R249</f>
        <v>0.25</v>
      </c>
      <c r="AB240" s="220">
        <f>R250</f>
        <v>0.25</v>
      </c>
      <c r="AC240" s="220">
        <f>R251</f>
        <v>0.25</v>
      </c>
    </row>
    <row r="241" spans="2:29" ht="15.75" thickBot="1" x14ac:dyDescent="0.3">
      <c r="B241" s="59">
        <v>2</v>
      </c>
      <c r="C241" s="680" t="s">
        <v>856</v>
      </c>
      <c r="D241" s="449">
        <f t="shared" si="13"/>
        <v>0</v>
      </c>
      <c r="E241" s="155" t="s">
        <v>89</v>
      </c>
      <c r="F241" s="358">
        <f t="shared" si="14"/>
        <v>0</v>
      </c>
      <c r="G241" s="449">
        <f t="shared" si="15"/>
        <v>0</v>
      </c>
      <c r="H241" s="392">
        <f>'Shared-2013'!H116</f>
        <v>0</v>
      </c>
      <c r="I241" s="406">
        <v>0.08</v>
      </c>
      <c r="J241" s="391">
        <f>'Shared-2013'!D116</f>
        <v>0.08</v>
      </c>
      <c r="K241" s="449">
        <f t="shared" si="16"/>
        <v>0</v>
      </c>
      <c r="L241" s="356" t="s">
        <v>521</v>
      </c>
      <c r="M241" s="514" t="s">
        <v>521</v>
      </c>
      <c r="N241" s="392">
        <f>SUM('Shared-2013'!D102)</f>
        <v>0</v>
      </c>
      <c r="O241" s="304" t="s">
        <v>89</v>
      </c>
      <c r="P241" s="135" t="str">
        <f>HYPERLINK(_TS_&amp;"#"&amp;SUBSTITUTE(P240,".","_"),"Open")</f>
        <v>Open</v>
      </c>
      <c r="Q241" s="217" t="s">
        <v>865</v>
      </c>
      <c r="R241" s="222">
        <v>0.5</v>
      </c>
      <c r="S241" s="223">
        <v>1</v>
      </c>
      <c r="T241" s="224">
        <f>S242</f>
        <v>0.25</v>
      </c>
      <c r="U241" s="224">
        <f>S243</f>
        <v>0.25</v>
      </c>
      <c r="V241" s="224">
        <f>S244</f>
        <v>0.25</v>
      </c>
      <c r="W241" s="224">
        <f>S245</f>
        <v>0.25</v>
      </c>
      <c r="X241" s="220">
        <f>S246</f>
        <v>0.5</v>
      </c>
      <c r="Y241" s="220">
        <f>S247</f>
        <v>0.5</v>
      </c>
      <c r="Z241" s="220">
        <f>S248</f>
        <v>0.5</v>
      </c>
      <c r="AA241" s="220">
        <f>S249</f>
        <v>0.25</v>
      </c>
      <c r="AB241" s="220">
        <f>S250</f>
        <v>0.25</v>
      </c>
      <c r="AC241" s="220">
        <f>S251</f>
        <v>0.25</v>
      </c>
    </row>
    <row r="242" spans="2:29" ht="15.75" thickBot="1" x14ac:dyDescent="0.3">
      <c r="B242" s="59">
        <v>3</v>
      </c>
      <c r="C242" s="680" t="s">
        <v>857</v>
      </c>
      <c r="D242" s="449">
        <f t="shared" si="13"/>
        <v>0</v>
      </c>
      <c r="E242" s="155" t="s">
        <v>89</v>
      </c>
      <c r="F242" s="358">
        <f t="shared" si="14"/>
        <v>0</v>
      </c>
      <c r="G242" s="449">
        <f t="shared" si="15"/>
        <v>0</v>
      </c>
      <c r="H242" s="392">
        <f>'Shared-2013'!H117</f>
        <v>0</v>
      </c>
      <c r="I242" s="406">
        <v>0.11</v>
      </c>
      <c r="J242" s="391">
        <f>'Shared-2013'!D117</f>
        <v>0.15</v>
      </c>
      <c r="K242" s="449">
        <f t="shared" si="16"/>
        <v>0</v>
      </c>
      <c r="L242" s="356" t="s">
        <v>521</v>
      </c>
      <c r="M242" s="514" t="s">
        <v>521</v>
      </c>
      <c r="N242" s="392">
        <f>SUM('Shared-2013'!D103)</f>
        <v>0</v>
      </c>
      <c r="O242" s="304" t="s">
        <v>89</v>
      </c>
      <c r="Q242" s="217" t="s">
        <v>866</v>
      </c>
      <c r="R242" s="222">
        <v>0.5</v>
      </c>
      <c r="S242" s="223">
        <v>0.25</v>
      </c>
      <c r="T242" s="223">
        <v>1</v>
      </c>
      <c r="U242" s="224">
        <f>T243</f>
        <v>0.25</v>
      </c>
      <c r="V242" s="224">
        <f>T244</f>
        <v>0.25</v>
      </c>
      <c r="W242" s="224">
        <f>T245</f>
        <v>0.25</v>
      </c>
      <c r="X242" s="220">
        <f>T246</f>
        <v>0.25</v>
      </c>
      <c r="Y242" s="220">
        <f>T247</f>
        <v>0.5</v>
      </c>
      <c r="Z242" s="220">
        <f>T248</f>
        <v>0.5</v>
      </c>
      <c r="AA242" s="220">
        <f>T249</f>
        <v>0.25</v>
      </c>
      <c r="AB242" s="220">
        <f>T250</f>
        <v>0.5</v>
      </c>
      <c r="AC242" s="220">
        <f>T251</f>
        <v>0.25</v>
      </c>
    </row>
    <row r="243" spans="2:29" ht="15.75" thickBot="1" x14ac:dyDescent="0.3">
      <c r="B243" s="59">
        <v>4</v>
      </c>
      <c r="C243" s="680" t="s">
        <v>858</v>
      </c>
      <c r="D243" s="449">
        <f t="shared" si="13"/>
        <v>0</v>
      </c>
      <c r="E243" s="155" t="s">
        <v>89</v>
      </c>
      <c r="F243" s="358">
        <f t="shared" si="14"/>
        <v>0</v>
      </c>
      <c r="G243" s="449">
        <f t="shared" si="15"/>
        <v>0</v>
      </c>
      <c r="H243" s="392">
        <f>'Shared-2013'!H118</f>
        <v>0</v>
      </c>
      <c r="I243" s="406">
        <v>0.1</v>
      </c>
      <c r="J243" s="391">
        <f>'Shared-2013'!D118</f>
        <v>0.08</v>
      </c>
      <c r="K243" s="449">
        <f t="shared" si="16"/>
        <v>0</v>
      </c>
      <c r="L243" s="356" t="s">
        <v>521</v>
      </c>
      <c r="M243" s="514" t="s">
        <v>521</v>
      </c>
      <c r="N243" s="392">
        <f>SUM('Shared-2013'!D104)</f>
        <v>0</v>
      </c>
      <c r="O243" s="304" t="s">
        <v>89</v>
      </c>
      <c r="Q243" s="217" t="s">
        <v>867</v>
      </c>
      <c r="R243" s="222">
        <v>0.25</v>
      </c>
      <c r="S243" s="223">
        <v>0.25</v>
      </c>
      <c r="T243" s="223">
        <v>0.25</v>
      </c>
      <c r="U243" s="223">
        <v>1</v>
      </c>
      <c r="V243" s="224">
        <f>U244</f>
        <v>0.25</v>
      </c>
      <c r="W243" s="224">
        <f>U245</f>
        <v>0.25</v>
      </c>
      <c r="X243" s="220">
        <f>U246</f>
        <v>0.25</v>
      </c>
      <c r="Y243" s="220">
        <f>U247</f>
        <v>0.5</v>
      </c>
      <c r="Z243" s="220">
        <f>U248</f>
        <v>0.5</v>
      </c>
      <c r="AA243" s="220">
        <f>U249</f>
        <v>0.25</v>
      </c>
      <c r="AB243" s="220">
        <f>U250</f>
        <v>0.5</v>
      </c>
      <c r="AC243" s="220">
        <f>U251</f>
        <v>0.5</v>
      </c>
    </row>
    <row r="244" spans="2:29" ht="15.75" thickBot="1" x14ac:dyDescent="0.3">
      <c r="B244" s="59">
        <v>5</v>
      </c>
      <c r="C244" s="680" t="s">
        <v>859</v>
      </c>
      <c r="D244" s="449">
        <f t="shared" si="13"/>
        <v>0</v>
      </c>
      <c r="E244" s="155" t="s">
        <v>89</v>
      </c>
      <c r="F244" s="358">
        <f t="shared" si="14"/>
        <v>0</v>
      </c>
      <c r="G244" s="449">
        <f t="shared" si="15"/>
        <v>0</v>
      </c>
      <c r="H244" s="392">
        <f>'Shared-2013'!H119</f>
        <v>0</v>
      </c>
      <c r="I244" s="406">
        <v>0.11</v>
      </c>
      <c r="J244" s="391">
        <f>'Shared-2013'!D119</f>
        <v>0.14000000000000001</v>
      </c>
      <c r="K244" s="449">
        <f t="shared" si="16"/>
        <v>0</v>
      </c>
      <c r="L244" s="356" t="s">
        <v>521</v>
      </c>
      <c r="M244" s="514" t="s">
        <v>521</v>
      </c>
      <c r="N244" s="392">
        <f>SUM('Shared-2013'!D105)</f>
        <v>0</v>
      </c>
      <c r="O244" s="304" t="s">
        <v>89</v>
      </c>
      <c r="Q244" s="217" t="s">
        <v>868</v>
      </c>
      <c r="R244" s="222">
        <v>0.5</v>
      </c>
      <c r="S244" s="223">
        <v>0.25</v>
      </c>
      <c r="T244" s="223">
        <v>0.25</v>
      </c>
      <c r="U244" s="223">
        <v>0.25</v>
      </c>
      <c r="V244" s="223">
        <v>1</v>
      </c>
      <c r="W244" s="224">
        <f>V245</f>
        <v>0.5</v>
      </c>
      <c r="X244" s="220">
        <f>V246</f>
        <v>0.5</v>
      </c>
      <c r="Y244" s="220">
        <f>V247</f>
        <v>0.25</v>
      </c>
      <c r="Z244" s="220">
        <f>V248</f>
        <v>0.5</v>
      </c>
      <c r="AA244" s="220">
        <f>V249</f>
        <v>0.5</v>
      </c>
      <c r="AB244" s="220">
        <f>V250</f>
        <v>0.25</v>
      </c>
      <c r="AC244" s="220">
        <f>V251</f>
        <v>0.25</v>
      </c>
    </row>
    <row r="245" spans="2:29" ht="15.75" thickBot="1" x14ac:dyDescent="0.3">
      <c r="B245" s="59">
        <v>6</v>
      </c>
      <c r="C245" s="680" t="s">
        <v>860</v>
      </c>
      <c r="D245" s="449">
        <f t="shared" si="13"/>
        <v>0</v>
      </c>
      <c r="E245" s="155" t="s">
        <v>89</v>
      </c>
      <c r="F245" s="358">
        <f t="shared" si="14"/>
        <v>0</v>
      </c>
      <c r="G245" s="449">
        <f t="shared" si="15"/>
        <v>0</v>
      </c>
      <c r="H245" s="392">
        <f>'Shared-2013'!H120</f>
        <v>0</v>
      </c>
      <c r="I245" s="406">
        <v>0.19</v>
      </c>
      <c r="J245" s="391">
        <f>'Shared-2013'!D120</f>
        <v>0.12</v>
      </c>
      <c r="K245" s="449">
        <f t="shared" si="16"/>
        <v>0</v>
      </c>
      <c r="L245" s="403">
        <v>1</v>
      </c>
      <c r="M245" s="514" t="s">
        <v>521</v>
      </c>
      <c r="N245" s="392">
        <f>SUM('Shared-2013'!D106)</f>
        <v>0</v>
      </c>
      <c r="O245" s="304" t="s">
        <v>89</v>
      </c>
      <c r="Q245" s="217" t="s">
        <v>869</v>
      </c>
      <c r="R245" s="222">
        <v>0.25</v>
      </c>
      <c r="S245" s="223">
        <v>0.25</v>
      </c>
      <c r="T245" s="223">
        <v>0.25</v>
      </c>
      <c r="U245" s="223">
        <v>0.25</v>
      </c>
      <c r="V245" s="223">
        <v>0.5</v>
      </c>
      <c r="W245" s="223">
        <v>1</v>
      </c>
      <c r="X245" s="220">
        <f>W246</f>
        <v>0.5</v>
      </c>
      <c r="Y245" s="220">
        <f>W247</f>
        <v>0.25</v>
      </c>
      <c r="Z245" s="220">
        <f>W248</f>
        <v>0.5</v>
      </c>
      <c r="AA245" s="220">
        <f>W249</f>
        <v>0.5</v>
      </c>
      <c r="AB245" s="220">
        <f>W250</f>
        <v>0.25</v>
      </c>
      <c r="AC245" s="220">
        <f>W251</f>
        <v>0.25</v>
      </c>
    </row>
    <row r="246" spans="2:29" ht="15.75" thickBot="1" x14ac:dyDescent="0.3">
      <c r="B246" s="59">
        <v>7</v>
      </c>
      <c r="C246" s="680" t="s">
        <v>861</v>
      </c>
      <c r="D246" s="449">
        <f t="shared" si="13"/>
        <v>0</v>
      </c>
      <c r="E246" s="155" t="s">
        <v>89</v>
      </c>
      <c r="F246" s="358">
        <f t="shared" si="14"/>
        <v>0</v>
      </c>
      <c r="G246" s="449">
        <f t="shared" si="15"/>
        <v>0</v>
      </c>
      <c r="H246" s="392">
        <f>'Shared-2013'!H121</f>
        <v>0</v>
      </c>
      <c r="I246" s="406">
        <v>0.12</v>
      </c>
      <c r="J246" s="391">
        <f>'Shared-2013'!D121</f>
        <v>7.0000000000000007E-2</v>
      </c>
      <c r="K246" s="449">
        <f t="shared" si="16"/>
        <v>0</v>
      </c>
      <c r="L246" s="514" t="s">
        <v>521</v>
      </c>
      <c r="M246" s="514" t="s">
        <v>521</v>
      </c>
      <c r="N246" s="392">
        <f>SUM('Shared-2013'!D107)</f>
        <v>0</v>
      </c>
      <c r="O246" s="304" t="s">
        <v>89</v>
      </c>
      <c r="Q246" s="217" t="s">
        <v>870</v>
      </c>
      <c r="R246" s="222">
        <v>0.5</v>
      </c>
      <c r="S246" s="223">
        <v>0.5</v>
      </c>
      <c r="T246" s="223">
        <v>0.25</v>
      </c>
      <c r="U246" s="223">
        <v>0.25</v>
      </c>
      <c r="V246" s="223">
        <v>0.5</v>
      </c>
      <c r="W246" s="223">
        <v>0.5</v>
      </c>
      <c r="X246" s="223">
        <v>1</v>
      </c>
      <c r="Y246" s="220">
        <f>X247</f>
        <v>0.25</v>
      </c>
      <c r="Z246" s="220">
        <f>X248</f>
        <v>0.5</v>
      </c>
      <c r="AA246" s="220">
        <f>X249</f>
        <v>0.5</v>
      </c>
      <c r="AB246" s="220">
        <f>X250</f>
        <v>0.25</v>
      </c>
      <c r="AC246" s="220">
        <f>X251</f>
        <v>0.25</v>
      </c>
    </row>
    <row r="247" spans="2:29" ht="15.75" thickBot="1" x14ac:dyDescent="0.3">
      <c r="B247" s="59">
        <v>8</v>
      </c>
      <c r="C247" s="680" t="s">
        <v>862</v>
      </c>
      <c r="D247" s="449">
        <f t="shared" si="13"/>
        <v>0</v>
      </c>
      <c r="E247" s="155" t="s">
        <v>89</v>
      </c>
      <c r="F247" s="358">
        <f t="shared" si="14"/>
        <v>0</v>
      </c>
      <c r="G247" s="449">
        <f t="shared" si="15"/>
        <v>0</v>
      </c>
      <c r="H247" s="392">
        <f>'Shared-2013'!H122</f>
        <v>0</v>
      </c>
      <c r="I247" s="406">
        <v>0.2</v>
      </c>
      <c r="J247" s="391">
        <f>'Shared-2013'!D122</f>
        <v>0.09</v>
      </c>
      <c r="K247" s="449">
        <f t="shared" si="16"/>
        <v>0</v>
      </c>
      <c r="L247" s="514" t="s">
        <v>521</v>
      </c>
      <c r="M247" s="514" t="s">
        <v>521</v>
      </c>
      <c r="N247" s="392">
        <f>SUM('Shared-2013'!D108)</f>
        <v>0</v>
      </c>
      <c r="O247" s="304" t="s">
        <v>89</v>
      </c>
      <c r="Q247" s="217" t="s">
        <v>871</v>
      </c>
      <c r="R247" s="222">
        <v>0.25</v>
      </c>
      <c r="S247" s="223">
        <v>0.5</v>
      </c>
      <c r="T247" s="223">
        <v>0.5</v>
      </c>
      <c r="U247" s="223">
        <v>0.5</v>
      </c>
      <c r="V247" s="223">
        <v>0.25</v>
      </c>
      <c r="W247" s="223">
        <v>0.25</v>
      </c>
      <c r="X247" s="223">
        <v>0.25</v>
      </c>
      <c r="Y247" s="223">
        <v>1</v>
      </c>
      <c r="Z247" s="220">
        <f>Y248</f>
        <v>0.5</v>
      </c>
      <c r="AA247" s="220">
        <f>Y249</f>
        <v>0.25</v>
      </c>
      <c r="AB247" s="220">
        <f>Y250</f>
        <v>0.25</v>
      </c>
      <c r="AC247" s="220">
        <f>Y251</f>
        <v>0.5</v>
      </c>
    </row>
    <row r="248" spans="2:29" ht="15.75" thickBot="1" x14ac:dyDescent="0.3">
      <c r="B248" s="59">
        <v>9</v>
      </c>
      <c r="C248" s="680" t="s">
        <v>863</v>
      </c>
      <c r="D248" s="449">
        <f t="shared" si="13"/>
        <v>0</v>
      </c>
      <c r="E248" s="155" t="s">
        <v>89</v>
      </c>
      <c r="F248" s="358">
        <f t="shared" si="14"/>
        <v>0</v>
      </c>
      <c r="G248" s="449">
        <f t="shared" si="15"/>
        <v>0</v>
      </c>
      <c r="H248" s="392">
        <f>'Shared-2013'!H123</f>
        <v>0</v>
      </c>
      <c r="I248" s="406">
        <v>0.2</v>
      </c>
      <c r="J248" s="391">
        <f>'Shared-2013'!D123</f>
        <v>0.13</v>
      </c>
      <c r="K248" s="449">
        <f t="shared" si="16"/>
        <v>0</v>
      </c>
      <c r="L248" s="514" t="s">
        <v>521</v>
      </c>
      <c r="M248" s="514" t="s">
        <v>521</v>
      </c>
      <c r="N248" s="392">
        <f>SUM('Shared-2013'!D109)</f>
        <v>0</v>
      </c>
      <c r="O248" s="304" t="s">
        <v>89</v>
      </c>
      <c r="Q248" s="217" t="s">
        <v>872</v>
      </c>
      <c r="R248" s="222">
        <v>0.5</v>
      </c>
      <c r="S248" s="223">
        <v>0.5</v>
      </c>
      <c r="T248" s="223">
        <v>0.5</v>
      </c>
      <c r="U248" s="223">
        <v>0.5</v>
      </c>
      <c r="V248" s="223">
        <v>0.5</v>
      </c>
      <c r="W248" s="223">
        <v>0.5</v>
      </c>
      <c r="X248" s="223">
        <v>0.5</v>
      </c>
      <c r="Y248" s="223">
        <v>0.5</v>
      </c>
      <c r="Z248" s="223">
        <v>1</v>
      </c>
      <c r="AA248" s="220">
        <f>Z249</f>
        <v>0.25</v>
      </c>
      <c r="AB248" s="220">
        <f>Z250</f>
        <v>0.5</v>
      </c>
      <c r="AC248" s="220">
        <f>Z251</f>
        <v>0.25</v>
      </c>
    </row>
    <row r="249" spans="2:29" ht="15.75" thickBot="1" x14ac:dyDescent="0.3">
      <c r="B249" s="59">
        <v>10</v>
      </c>
      <c r="C249" s="680" t="s">
        <v>1006</v>
      </c>
      <c r="D249" s="449">
        <f t="shared" si="13"/>
        <v>0</v>
      </c>
      <c r="E249" s="155" t="s">
        <v>89</v>
      </c>
      <c r="F249" s="358">
        <f t="shared" si="14"/>
        <v>0</v>
      </c>
      <c r="G249" s="449">
        <f t="shared" si="15"/>
        <v>0</v>
      </c>
      <c r="H249" s="392">
        <f>'Shared-2013'!H124</f>
        <v>0</v>
      </c>
      <c r="I249" s="406">
        <v>0.2</v>
      </c>
      <c r="J249" s="391">
        <f>'Shared-2013'!D124</f>
        <v>0.17</v>
      </c>
      <c r="K249" s="449">
        <f t="shared" si="16"/>
        <v>0</v>
      </c>
      <c r="L249" s="403">
        <v>1</v>
      </c>
      <c r="M249" s="514" t="s">
        <v>521</v>
      </c>
      <c r="N249" s="392">
        <f>SUM('Shared-2013'!D110)</f>
        <v>0</v>
      </c>
      <c r="O249" s="304" t="s">
        <v>89</v>
      </c>
      <c r="Q249" s="217" t="s">
        <v>1009</v>
      </c>
      <c r="R249" s="222">
        <v>0.25</v>
      </c>
      <c r="S249" s="223">
        <v>0.25</v>
      </c>
      <c r="T249" s="223">
        <v>0.25</v>
      </c>
      <c r="U249" s="223">
        <v>0.25</v>
      </c>
      <c r="V249" s="223">
        <v>0.5</v>
      </c>
      <c r="W249" s="223">
        <v>0.5</v>
      </c>
      <c r="X249" s="223">
        <v>0.5</v>
      </c>
      <c r="Y249" s="223">
        <v>0.25</v>
      </c>
      <c r="Z249" s="223">
        <v>0.25</v>
      </c>
      <c r="AA249" s="223">
        <v>1</v>
      </c>
      <c r="AB249" s="220">
        <f>AA250</f>
        <v>0.25</v>
      </c>
      <c r="AC249" s="220">
        <f>AA251</f>
        <v>0.25</v>
      </c>
    </row>
    <row r="250" spans="2:29" ht="15.75" thickBot="1" x14ac:dyDescent="0.3">
      <c r="B250" s="59">
        <v>11</v>
      </c>
      <c r="C250" s="680" t="s">
        <v>1007</v>
      </c>
      <c r="D250" s="449">
        <f t="shared" si="13"/>
        <v>0</v>
      </c>
      <c r="E250" s="155" t="s">
        <v>89</v>
      </c>
      <c r="F250" s="358">
        <f t="shared" si="14"/>
        <v>0</v>
      </c>
      <c r="G250" s="449">
        <f t="shared" si="15"/>
        <v>0</v>
      </c>
      <c r="H250" s="392">
        <f>'Shared-2013'!H125</f>
        <v>0</v>
      </c>
      <c r="I250" s="406">
        <v>0.2</v>
      </c>
      <c r="J250" s="391">
        <f>'Shared-2013'!D125</f>
        <v>0.17</v>
      </c>
      <c r="K250" s="449">
        <f t="shared" si="16"/>
        <v>0</v>
      </c>
      <c r="L250" s="403">
        <v>1</v>
      </c>
      <c r="M250" s="514" t="s">
        <v>521</v>
      </c>
      <c r="N250" s="392">
        <f>SUM('Shared-2013'!D111)</f>
        <v>0</v>
      </c>
      <c r="O250" s="304" t="s">
        <v>89</v>
      </c>
      <c r="Q250" s="217" t="s">
        <v>1010</v>
      </c>
      <c r="R250" s="222">
        <v>0.25</v>
      </c>
      <c r="S250" s="223">
        <v>0.25</v>
      </c>
      <c r="T250" s="223">
        <v>0.5</v>
      </c>
      <c r="U250" s="223">
        <v>0.5</v>
      </c>
      <c r="V250" s="223">
        <v>0.25</v>
      </c>
      <c r="W250" s="223">
        <v>0.25</v>
      </c>
      <c r="X250" s="223">
        <v>0.25</v>
      </c>
      <c r="Y250" s="223">
        <v>0.25</v>
      </c>
      <c r="Z250" s="223">
        <v>0.5</v>
      </c>
      <c r="AA250" s="223">
        <v>0.25</v>
      </c>
      <c r="AB250" s="223">
        <v>1</v>
      </c>
      <c r="AC250" s="220">
        <f>AB251</f>
        <v>0.25</v>
      </c>
    </row>
    <row r="251" spans="2:29" ht="15.75" thickBot="1" x14ac:dyDescent="0.3">
      <c r="B251" s="59">
        <v>12</v>
      </c>
      <c r="C251" s="681" t="s">
        <v>1005</v>
      </c>
      <c r="D251" s="441">
        <f t="shared" si="13"/>
        <v>0</v>
      </c>
      <c r="E251" s="161" t="s">
        <v>89</v>
      </c>
      <c r="F251" s="359">
        <f t="shared" si="14"/>
        <v>0</v>
      </c>
      <c r="G251" s="441">
        <f t="shared" si="15"/>
        <v>0</v>
      </c>
      <c r="H251" s="394">
        <f>'Shared-2013'!H126</f>
        <v>0</v>
      </c>
      <c r="I251" s="407">
        <v>0.2</v>
      </c>
      <c r="J251" s="393">
        <f>'Shared-2013'!D126</f>
        <v>0.17</v>
      </c>
      <c r="K251" s="441">
        <f t="shared" si="16"/>
        <v>0</v>
      </c>
      <c r="L251" s="404">
        <v>1</v>
      </c>
      <c r="M251" s="519" t="s">
        <v>521</v>
      </c>
      <c r="N251" s="394">
        <f>SUM('Shared-2013'!D112)</f>
        <v>0</v>
      </c>
      <c r="O251" s="304" t="s">
        <v>89</v>
      </c>
      <c r="Q251" s="217" t="s">
        <v>1011</v>
      </c>
      <c r="R251" s="222">
        <v>0.25</v>
      </c>
      <c r="S251" s="223">
        <v>0.25</v>
      </c>
      <c r="T251" s="223">
        <v>0.25</v>
      </c>
      <c r="U251" s="223">
        <v>0.5</v>
      </c>
      <c r="V251" s="223">
        <v>0.25</v>
      </c>
      <c r="W251" s="223">
        <v>0.25</v>
      </c>
      <c r="X251" s="223">
        <v>0.25</v>
      </c>
      <c r="Y251" s="223">
        <v>0.5</v>
      </c>
      <c r="Z251" s="223">
        <v>0.25</v>
      </c>
      <c r="AA251" s="223">
        <v>0.25</v>
      </c>
      <c r="AB251" s="223">
        <v>0.25</v>
      </c>
      <c r="AC251" s="223">
        <v>1</v>
      </c>
    </row>
    <row r="252" spans="2:29" x14ac:dyDescent="0.25">
      <c r="C252" s="4"/>
      <c r="D252" s="4"/>
      <c r="E252" s="4"/>
      <c r="F252" s="4"/>
      <c r="O252" s="304" t="s">
        <v>89</v>
      </c>
    </row>
    <row r="253" spans="2:29" x14ac:dyDescent="0.25">
      <c r="C253" s="4"/>
      <c r="D253" s="4"/>
      <c r="E253" s="4"/>
      <c r="F253" s="782" t="s">
        <v>735</v>
      </c>
      <c r="G253" s="691"/>
      <c r="H253" s="782" t="s">
        <v>999</v>
      </c>
      <c r="I253" s="691"/>
      <c r="O253" s="304" t="s">
        <v>89</v>
      </c>
    </row>
    <row r="254" spans="2:29" x14ac:dyDescent="0.25">
      <c r="C254" s="4"/>
      <c r="D254" s="4"/>
      <c r="E254" s="4"/>
      <c r="F254" s="695" t="s">
        <v>0</v>
      </c>
      <c r="G254" s="695" t="s">
        <v>20</v>
      </c>
      <c r="H254" s="789" t="s">
        <v>0</v>
      </c>
      <c r="I254" s="695" t="s">
        <v>20</v>
      </c>
      <c r="O254" s="304" t="s">
        <v>89</v>
      </c>
    </row>
    <row r="255" spans="2:29" x14ac:dyDescent="0.25">
      <c r="C255" s="798" t="s">
        <v>1024</v>
      </c>
      <c r="D255" s="448">
        <f>IF(AND(F255&lt;&gt;"-",G255&lt;&gt;"-",H255&lt;&gt;"-",I255&lt;&gt;"-"),MAX((SUM(F255)-SUM(G255))-(SUM(H255)-SUM(I255)),0),0)</f>
        <v>0</v>
      </c>
      <c r="E255" s="206" t="s">
        <v>89</v>
      </c>
      <c r="F255" s="529" t="s">
        <v>521</v>
      </c>
      <c r="G255" s="517" t="s">
        <v>521</v>
      </c>
      <c r="H255" s="516" t="str">
        <f>F255</f>
        <v>-</v>
      </c>
      <c r="I255" s="517" t="s">
        <v>521</v>
      </c>
      <c r="O255" s="304" t="s">
        <v>89</v>
      </c>
    </row>
    <row r="256" spans="2:29" x14ac:dyDescent="0.25">
      <c r="C256" s="4"/>
      <c r="D256" s="4"/>
      <c r="E256" s="4"/>
      <c r="F256" s="4"/>
      <c r="O256" s="304" t="s">
        <v>89</v>
      </c>
    </row>
    <row r="257" spans="1:16" x14ac:dyDescent="0.25">
      <c r="C257" s="4"/>
      <c r="D257" s="4"/>
      <c r="E257" s="4"/>
      <c r="F257" s="4"/>
      <c r="O257" s="304" t="s">
        <v>89</v>
      </c>
    </row>
    <row r="258" spans="1:16" x14ac:dyDescent="0.25">
      <c r="C258" s="4"/>
      <c r="D258" s="4"/>
      <c r="E258" s="4"/>
      <c r="F258" s="4"/>
      <c r="O258" s="304" t="s">
        <v>89</v>
      </c>
    </row>
    <row r="259" spans="1:16" x14ac:dyDescent="0.25">
      <c r="C259" s="1043" t="s">
        <v>1048</v>
      </c>
      <c r="D259" s="1111" t="str">
        <f>$D$63</f>
        <v>Alap</v>
      </c>
      <c r="E259" s="4"/>
      <c r="F259" s="4"/>
      <c r="O259" s="304" t="s">
        <v>89</v>
      </c>
    </row>
    <row r="260" spans="1:16" x14ac:dyDescent="0.25">
      <c r="C260" s="1045"/>
      <c r="D260" s="1112"/>
      <c r="E260" s="4"/>
      <c r="F260" s="4"/>
      <c r="O260" s="304" t="s">
        <v>89</v>
      </c>
    </row>
    <row r="261" spans="1:16" x14ac:dyDescent="0.25">
      <c r="A261" s="32"/>
      <c r="B261" s="32"/>
      <c r="C261" s="11"/>
      <c r="D261" s="11"/>
      <c r="E261" s="11"/>
      <c r="F261" s="11"/>
      <c r="G261" s="11"/>
      <c r="H261" s="12"/>
      <c r="I261" s="12"/>
      <c r="K261" s="10"/>
      <c r="L261" s="10"/>
      <c r="N261" s="10"/>
      <c r="O261" s="304" t="s">
        <v>89</v>
      </c>
      <c r="P261" s="300"/>
    </row>
    <row r="262" spans="1:16" x14ac:dyDescent="0.25">
      <c r="A262" s="32"/>
      <c r="B262" s="32"/>
      <c r="C262" s="165" t="s">
        <v>84</v>
      </c>
      <c r="D262" s="212"/>
      <c r="E262" s="11"/>
      <c r="F262" s="11"/>
      <c r="G262" s="11"/>
      <c r="H262" s="12"/>
      <c r="K262" s="32"/>
      <c r="L262" s="32"/>
      <c r="O262" s="304" t="s">
        <v>89</v>
      </c>
    </row>
    <row r="263" spans="1:16" x14ac:dyDescent="0.25">
      <c r="A263" s="7"/>
      <c r="B263" s="7"/>
      <c r="C263" s="948" t="s">
        <v>1036</v>
      </c>
      <c r="D263" s="947">
        <f>IF(_IsComposite,SUM(H273),SUM(F273))</f>
        <v>0</v>
      </c>
      <c r="E263" s="11"/>
      <c r="F263" s="11"/>
      <c r="G263" s="11"/>
      <c r="L263" s="32"/>
      <c r="O263" s="304" t="s">
        <v>89</v>
      </c>
    </row>
    <row r="264" spans="1:16" x14ac:dyDescent="0.25">
      <c r="A264" s="7"/>
      <c r="B264" s="7"/>
      <c r="C264" s="948" t="s">
        <v>1035</v>
      </c>
      <c r="D264" s="947">
        <f>IF(_IsComposite,SUM(H274),SUM(F274))</f>
        <v>0</v>
      </c>
      <c r="E264" s="11"/>
      <c r="F264" s="11"/>
      <c r="G264" s="11"/>
      <c r="L264" s="32"/>
      <c r="O264" s="304" t="s">
        <v>89</v>
      </c>
    </row>
    <row r="265" spans="1:16" x14ac:dyDescent="0.25">
      <c r="D265" s="8"/>
      <c r="E265" s="8"/>
      <c r="G265" s="8"/>
      <c r="H265" s="95"/>
      <c r="I265" s="95"/>
      <c r="O265" s="304" t="s">
        <v>89</v>
      </c>
    </row>
    <row r="266" spans="1:16" ht="22.5" x14ac:dyDescent="0.25">
      <c r="B266" s="238"/>
      <c r="C266" s="800" t="s">
        <v>1027</v>
      </c>
      <c r="D266" s="801"/>
      <c r="E266" s="801"/>
      <c r="F266" s="265" t="s">
        <v>516</v>
      </c>
      <c r="G266" s="265" t="s">
        <v>504</v>
      </c>
      <c r="H266" s="266" t="s">
        <v>656</v>
      </c>
      <c r="I266" s="265" t="s">
        <v>739</v>
      </c>
      <c r="J266" s="265" t="s">
        <v>740</v>
      </c>
      <c r="K266" s="32"/>
      <c r="L266" s="32"/>
      <c r="M266" s="32"/>
      <c r="N266" s="32"/>
      <c r="O266" s="304" t="s">
        <v>89</v>
      </c>
    </row>
    <row r="267" spans="1:16" x14ac:dyDescent="0.25">
      <c r="A267" s="7"/>
      <c r="B267" s="7"/>
      <c r="C267" s="802" t="s">
        <v>1026</v>
      </c>
      <c r="D267" s="803"/>
      <c r="E267" s="803"/>
      <c r="F267" s="364">
        <f>IF(_IsComposite,"-",SUMPRODUCT($R$278:$R$293,(H$278:H$293&gt;0)*1,H$278:H$293)+SUMPRODUCT((I$278:I$293&gt;0)*1,I$278:I$293,'0. Alap'!$S$278:$S$293))</f>
        <v>0</v>
      </c>
      <c r="G267" s="364">
        <f>IF(_IsComposite,"-",SUMPRODUCT((H$297:H$300&gt;0)*1,H$297:H$300,$R$297:$R$300)+MAX(I$303,0)*$R$301)</f>
        <v>0</v>
      </c>
      <c r="H267" s="438"/>
      <c r="I267" s="365" t="str">
        <f>IF(_IsComposite,SUMPRODUCT($R$278:$R$293,(H$278:H$293&gt;0)*1,H$278:H$293)+SUMPRODUCT((I$278:I$293&gt;0)*1,I$278:I$293,'0. Alap'!$S$278:$S$293)+SUMPRODUCT((K$278:K$293&gt;0)*1,K$278:K$293,$R$278:$R$293)+SUMPRODUCT((L$278:L$293&gt;0)*1,L$278:L$293,'0. Alap'!$S$278:$S$293),"-")</f>
        <v>-</v>
      </c>
      <c r="J267" s="365" t="str">
        <f>IF(_IsComposite,SUMPRODUCT((H$297:H$300&gt;0)*1,H$297:H$300,$R$297:$R$300)+MAX(I$303,0)*$R$301+SUMPRODUCT((K$297:K$300&gt;0)*1,K$297:K$300,$R$297:$R$300)+MAX(L$303,0)*$R$301,"-")</f>
        <v>-</v>
      </c>
      <c r="K267" s="32"/>
      <c r="L267" s="32"/>
      <c r="M267" s="32"/>
      <c r="N267" s="32"/>
      <c r="O267" s="304" t="s">
        <v>89</v>
      </c>
    </row>
    <row r="268" spans="1:16" x14ac:dyDescent="0.25">
      <c r="A268" s="7"/>
      <c r="B268" s="7"/>
      <c r="C268" s="804" t="s">
        <v>1033</v>
      </c>
      <c r="D268" s="805"/>
      <c r="E268" s="805"/>
      <c r="F268" s="1113">
        <f>SUM(J28)</f>
        <v>0</v>
      </c>
      <c r="G268" s="1114"/>
      <c r="H268" s="415"/>
      <c r="I268" s="367" t="str">
        <f>IF(_IsComposite,SUM(F268)*IF((I$267+MAX(J$267,0))&gt;0,I$267/(I$267+MAX(J$267,0)),(I$267&lt;&gt;0)*1),"-")</f>
        <v>-</v>
      </c>
      <c r="J268" s="367" t="str">
        <f>IF(_IsComposite,SUM(F268)*IF(AND(I$267+MAX(J$267,0)&gt;0),MAX(J$267,0)/(I$267+MAX(J$267,0)),(J$267&lt;&gt;0)*1),"-")</f>
        <v>-</v>
      </c>
      <c r="K268" s="32"/>
      <c r="L268" s="32"/>
      <c r="M268" s="32"/>
      <c r="N268" s="32"/>
      <c r="O268" s="304" t="s">
        <v>89</v>
      </c>
    </row>
    <row r="269" spans="1:16" ht="17.25" customHeight="1" x14ac:dyDescent="0.25">
      <c r="A269" s="7"/>
      <c r="B269" s="238"/>
      <c r="C269" s="806" t="s">
        <v>1028</v>
      </c>
      <c r="D269" s="807"/>
      <c r="E269" s="807"/>
      <c r="F269" s="1115">
        <f>MIN(MAX(SUM(F$267,G$267),25%*SUM(F268)),45%*SUM(F268))</f>
        <v>0</v>
      </c>
      <c r="G269" s="1112"/>
      <c r="H269" s="415"/>
      <c r="I269" s="441" t="str">
        <f>IF(_IsComposite,MIN(MAX(I$267,25%*SUM(I268)),45%*SUM(I268)),"-")</f>
        <v>-</v>
      </c>
      <c r="J269" s="441" t="str">
        <f>IF(_IsComposite,MIN(MAX(J$267,25%*SUM(J268)),45%*SUM(J268)),"-")</f>
        <v>-</v>
      </c>
      <c r="K269" s="32"/>
      <c r="L269" s="32"/>
      <c r="M269" s="32"/>
      <c r="N269" s="32"/>
      <c r="O269" s="304" t="s">
        <v>89</v>
      </c>
    </row>
    <row r="270" spans="1:16" ht="17.25" customHeight="1" x14ac:dyDescent="0.25">
      <c r="A270" s="7"/>
      <c r="B270" s="238"/>
      <c r="C270" s="804" t="s">
        <v>1034</v>
      </c>
      <c r="D270" s="808"/>
      <c r="E270" s="808"/>
      <c r="F270" s="1113" t="str">
        <f>IF(J32&lt;&gt;"-",SUM(J32),"-")</f>
        <v>-</v>
      </c>
      <c r="G270" s="1114"/>
      <c r="H270" s="415"/>
      <c r="I270" s="367" t="str">
        <f>IF(_IsComposite,SUM(F270)*IF((I$267+MAX(J$267,0))&gt;0,I$267/(I$267+MAX(J$267,0)),(I$267&lt;&gt;0)*1),"-")</f>
        <v>-</v>
      </c>
      <c r="J270" s="367" t="str">
        <f>IF(_IsComposite,SUM(F270)*IF(AND(I$267+MAX(J$267,0)&gt;0),MAX(J$267,0)/(I$267+MAX(J$267,0)),(J$267&lt;&gt;0)*1),"-")</f>
        <v>-</v>
      </c>
      <c r="K270" s="32"/>
      <c r="L270" s="32"/>
      <c r="M270" s="32"/>
      <c r="N270" s="32"/>
      <c r="O270" s="304" t="s">
        <v>89</v>
      </c>
    </row>
    <row r="271" spans="1:16" ht="17.25" customHeight="1" x14ac:dyDescent="0.25">
      <c r="A271" s="7"/>
      <c r="B271" s="238"/>
      <c r="C271" s="806" t="s">
        <v>1029</v>
      </c>
      <c r="D271" s="807"/>
      <c r="E271" s="807"/>
      <c r="F271" s="1115">
        <f>MIN(MAX(SUM(F$267,G$267),25%*SUM(F270)),45%*SUM(F270))</f>
        <v>0</v>
      </c>
      <c r="G271" s="1116">
        <f>MIN(MAX(G$267,25%*G270),45%*G270)</f>
        <v>0</v>
      </c>
      <c r="H271" s="415"/>
      <c r="I271" s="441" t="str">
        <f>IF(_IsComposite,MIN(MAX(I$267,25%*SUM(I270)),45%*SUM(I270)),"-")</f>
        <v>-</v>
      </c>
      <c r="J271" s="441" t="str">
        <f>IF(_IsComposite,MIN(MAX(J$267,25%*SUM(J270)),45%*SUM(J270)),"-")</f>
        <v>-</v>
      </c>
      <c r="K271" s="32"/>
      <c r="L271" s="32"/>
      <c r="M271" s="32"/>
      <c r="N271" s="32"/>
      <c r="O271" s="304" t="s">
        <v>89</v>
      </c>
    </row>
    <row r="272" spans="1:16" ht="15" customHeight="1" x14ac:dyDescent="0.25">
      <c r="A272" s="7"/>
      <c r="B272" s="238"/>
      <c r="C272" s="809" t="s">
        <v>1030</v>
      </c>
      <c r="D272" s="810"/>
      <c r="E272" s="810"/>
      <c r="F272" s="1117" t="s">
        <v>521</v>
      </c>
      <c r="G272" s="1118"/>
      <c r="H272" s="439"/>
      <c r="I272" s="366" t="s">
        <v>521</v>
      </c>
      <c r="J272" s="366" t="s">
        <v>521</v>
      </c>
      <c r="K272" s="32"/>
      <c r="L272" s="32"/>
      <c r="M272" s="32"/>
      <c r="N272" s="32"/>
      <c r="O272" s="304" t="s">
        <v>89</v>
      </c>
    </row>
    <row r="273" spans="1:19" ht="15" customHeight="1" x14ac:dyDescent="0.25">
      <c r="A273" s="7"/>
      <c r="B273" s="238"/>
      <c r="C273" s="806" t="s">
        <v>1031</v>
      </c>
      <c r="D273" s="807"/>
      <c r="E273" s="807"/>
      <c r="F273" s="1122">
        <f>IF(_IsComposite,"-",MAX(F$272,F$269))</f>
        <v>0</v>
      </c>
      <c r="G273" s="1123"/>
      <c r="H273" s="451" t="str">
        <f>IF(_IsComposite,SUM(I273:J273),"-")</f>
        <v>-</v>
      </c>
      <c r="I273" s="451" t="str">
        <f>IF(_IsComposite,MAX(I$272,I$269),"-")</f>
        <v>-</v>
      </c>
      <c r="J273" s="451" t="str">
        <f>IF(_IsComposite,MAX(J$272,J$269),"-")</f>
        <v>-</v>
      </c>
      <c r="K273" s="32"/>
      <c r="L273" s="32"/>
      <c r="M273" s="32"/>
      <c r="N273" s="32"/>
      <c r="O273" s="304" t="s">
        <v>89</v>
      </c>
    </row>
    <row r="274" spans="1:19" ht="15" customHeight="1" x14ac:dyDescent="0.25">
      <c r="A274" s="7"/>
      <c r="B274" s="238"/>
      <c r="C274" s="806" t="s">
        <v>1032</v>
      </c>
      <c r="D274" s="807"/>
      <c r="E274" s="807"/>
      <c r="F274" s="1122">
        <f>IF(_IsComposite,"-",MAX(F$272,F$271))</f>
        <v>0</v>
      </c>
      <c r="G274" s="1123"/>
      <c r="H274" s="451" t="str">
        <f>IF(_IsComposite,SUM(I274:J274),"-")</f>
        <v>-</v>
      </c>
      <c r="I274" s="451" t="str">
        <f>IF(_IsComposite,MAX(I$272,I$271),"-")</f>
        <v>-</v>
      </c>
      <c r="J274" s="451" t="str">
        <f>IF(_IsComposite,MAX(J$272,J$271),"-")</f>
        <v>-</v>
      </c>
      <c r="K274" s="32"/>
      <c r="L274" s="32"/>
      <c r="M274" s="32"/>
      <c r="N274" s="32"/>
      <c r="O274" s="304" t="s">
        <v>89</v>
      </c>
    </row>
    <row r="275" spans="1:19" x14ac:dyDescent="0.25">
      <c r="D275" s="8"/>
      <c r="E275" s="8"/>
      <c r="G275" s="8"/>
      <c r="H275" s="95"/>
      <c r="I275" s="95"/>
      <c r="O275" s="304" t="s">
        <v>89</v>
      </c>
    </row>
    <row r="276" spans="1:19" x14ac:dyDescent="0.25">
      <c r="D276" s="8"/>
      <c r="E276" s="8"/>
      <c r="G276" s="8"/>
      <c r="H276" s="95"/>
      <c r="I276" s="95"/>
      <c r="K276" s="735" t="s">
        <v>1037</v>
      </c>
      <c r="L276" s="691"/>
      <c r="O276" s="304" t="s">
        <v>89</v>
      </c>
    </row>
    <row r="277" spans="1:19" ht="33.75" customHeight="1" x14ac:dyDescent="0.25">
      <c r="C277" s="811" t="s">
        <v>167</v>
      </c>
      <c r="D277" s="801"/>
      <c r="E277" s="801"/>
      <c r="F277" s="801"/>
      <c r="G277" s="812"/>
      <c r="H277" s="408" t="s">
        <v>654</v>
      </c>
      <c r="I277" s="408" t="s">
        <v>655</v>
      </c>
      <c r="K277" s="412" t="s">
        <v>1038</v>
      </c>
      <c r="L277" s="412" t="s">
        <v>655</v>
      </c>
      <c r="O277" s="304" t="s">
        <v>89</v>
      </c>
      <c r="Q277" s="257"/>
      <c r="R277" s="263" t="s">
        <v>652</v>
      </c>
      <c r="S277" s="263" t="s">
        <v>653</v>
      </c>
    </row>
    <row r="278" spans="1:19" x14ac:dyDescent="0.25">
      <c r="C278" s="686" t="s">
        <v>168</v>
      </c>
      <c r="D278" s="725"/>
      <c r="E278" s="725"/>
      <c r="F278" s="725"/>
      <c r="G278" s="687"/>
      <c r="H278" s="366" t="s">
        <v>521</v>
      </c>
      <c r="I278" s="409" t="str">
        <f>'Shared-2013'!F143</f>
        <v>-</v>
      </c>
      <c r="K278" s="366" t="s">
        <v>521</v>
      </c>
      <c r="L278" s="409" t="str">
        <f>'Shared-2013'!H143</f>
        <v>-</v>
      </c>
      <c r="O278" s="304" t="s">
        <v>89</v>
      </c>
      <c r="Q278" s="43" t="s">
        <v>168</v>
      </c>
      <c r="R278" s="535">
        <v>4.7E-2</v>
      </c>
      <c r="S278" s="535">
        <v>4.7E-2</v>
      </c>
    </row>
    <row r="279" spans="1:19" x14ac:dyDescent="0.25">
      <c r="C279" s="686" t="s">
        <v>169</v>
      </c>
      <c r="D279" s="725"/>
      <c r="E279" s="725"/>
      <c r="F279" s="725"/>
      <c r="G279" s="687"/>
      <c r="H279" s="366" t="s">
        <v>521</v>
      </c>
      <c r="I279" s="409" t="str">
        <f>'Shared-2013'!F144</f>
        <v>-</v>
      </c>
      <c r="K279" s="366" t="s">
        <v>521</v>
      </c>
      <c r="L279" s="409" t="str">
        <f>'Shared-2013'!H144</f>
        <v>-</v>
      </c>
      <c r="O279" s="304" t="s">
        <v>89</v>
      </c>
      <c r="Q279" s="44" t="s">
        <v>169</v>
      </c>
      <c r="R279" s="535">
        <v>0.13100000000000001</v>
      </c>
      <c r="S279" s="535">
        <v>8.5000000000000006E-2</v>
      </c>
    </row>
    <row r="280" spans="1:19" x14ac:dyDescent="0.25">
      <c r="C280" s="686" t="s">
        <v>170</v>
      </c>
      <c r="D280" s="725"/>
      <c r="E280" s="725"/>
      <c r="F280" s="725"/>
      <c r="G280" s="687"/>
      <c r="H280" s="366" t="s">
        <v>521</v>
      </c>
      <c r="I280" s="409" t="str">
        <f>'Shared-2013'!F145</f>
        <v>-</v>
      </c>
      <c r="K280" s="366" t="s">
        <v>521</v>
      </c>
      <c r="L280" s="409" t="str">
        <f>'Shared-2013'!H145</f>
        <v>-</v>
      </c>
      <c r="O280" s="304" t="s">
        <v>89</v>
      </c>
      <c r="Q280" s="44" t="s">
        <v>170</v>
      </c>
      <c r="R280" s="535">
        <v>0.107</v>
      </c>
      <c r="S280" s="535">
        <v>7.4999999999999997E-2</v>
      </c>
    </row>
    <row r="281" spans="1:19" x14ac:dyDescent="0.25">
      <c r="C281" s="686" t="s">
        <v>171</v>
      </c>
      <c r="D281" s="725"/>
      <c r="E281" s="725"/>
      <c r="F281" s="725"/>
      <c r="G281" s="687"/>
      <c r="H281" s="366" t="s">
        <v>521</v>
      </c>
      <c r="I281" s="409" t="str">
        <f>'Shared-2013'!F146</f>
        <v>-</v>
      </c>
      <c r="K281" s="366" t="s">
        <v>521</v>
      </c>
      <c r="L281" s="409" t="str">
        <f>'Shared-2013'!H146</f>
        <v>-</v>
      </c>
      <c r="O281" s="304" t="s">
        <v>89</v>
      </c>
      <c r="Q281" s="44" t="s">
        <v>171</v>
      </c>
      <c r="R281" s="535">
        <v>8.5000000000000006E-2</v>
      </c>
      <c r="S281" s="535">
        <v>9.4E-2</v>
      </c>
    </row>
    <row r="282" spans="1:19" x14ac:dyDescent="0.25">
      <c r="C282" s="686" t="s">
        <v>172</v>
      </c>
      <c r="D282" s="725"/>
      <c r="E282" s="725"/>
      <c r="F282" s="725"/>
      <c r="G282" s="687"/>
      <c r="H282" s="366" t="s">
        <v>521</v>
      </c>
      <c r="I282" s="409" t="str">
        <f>'Shared-2013'!F147</f>
        <v>-</v>
      </c>
      <c r="K282" s="366" t="s">
        <v>521</v>
      </c>
      <c r="L282" s="409" t="str">
        <f>'Shared-2013'!H147</f>
        <v>-</v>
      </c>
      <c r="O282" s="304" t="s">
        <v>89</v>
      </c>
      <c r="Q282" s="44" t="s">
        <v>172</v>
      </c>
      <c r="R282" s="535">
        <v>7.4999999999999997E-2</v>
      </c>
      <c r="S282" s="535">
        <v>7.4999999999999997E-2</v>
      </c>
    </row>
    <row r="283" spans="1:19" x14ac:dyDescent="0.25">
      <c r="C283" s="686" t="s">
        <v>173</v>
      </c>
      <c r="D283" s="725"/>
      <c r="E283" s="725"/>
      <c r="F283" s="725"/>
      <c r="G283" s="687"/>
      <c r="H283" s="366" t="s">
        <v>521</v>
      </c>
      <c r="I283" s="409" t="str">
        <f>'Shared-2013'!F148</f>
        <v>-</v>
      </c>
      <c r="K283" s="366" t="s">
        <v>521</v>
      </c>
      <c r="L283" s="409" t="str">
        <f>'Shared-2013'!H148</f>
        <v>-</v>
      </c>
      <c r="O283" s="304" t="s">
        <v>89</v>
      </c>
      <c r="Q283" s="44" t="s">
        <v>173</v>
      </c>
      <c r="R283" s="535">
        <v>0.10299999999999999</v>
      </c>
      <c r="S283" s="535">
        <v>0.14000000000000001</v>
      </c>
    </row>
    <row r="284" spans="1:19" x14ac:dyDescent="0.25">
      <c r="C284" s="686" t="s">
        <v>174</v>
      </c>
      <c r="D284" s="725"/>
      <c r="E284" s="725"/>
      <c r="F284" s="725"/>
      <c r="G284" s="687"/>
      <c r="H284" s="366" t="s">
        <v>521</v>
      </c>
      <c r="I284" s="409" t="str">
        <f>'Shared-2013'!F149</f>
        <v>-</v>
      </c>
      <c r="K284" s="366" t="s">
        <v>521</v>
      </c>
      <c r="L284" s="409" t="str">
        <f>'Shared-2013'!H149</f>
        <v>-</v>
      </c>
      <c r="O284" s="304" t="s">
        <v>89</v>
      </c>
      <c r="Q284" s="44" t="s">
        <v>174</v>
      </c>
      <c r="R284" s="535">
        <v>9.4E-2</v>
      </c>
      <c r="S284" s="535">
        <v>7.4999999999999997E-2</v>
      </c>
    </row>
    <row r="285" spans="1:19" x14ac:dyDescent="0.25">
      <c r="C285" s="686" t="s">
        <v>175</v>
      </c>
      <c r="D285" s="725"/>
      <c r="E285" s="725"/>
      <c r="F285" s="725"/>
      <c r="G285" s="687"/>
      <c r="H285" s="366" t="s">
        <v>521</v>
      </c>
      <c r="I285" s="409" t="str">
        <f>'Shared-2013'!F150</f>
        <v>-</v>
      </c>
      <c r="K285" s="366" t="s">
        <v>521</v>
      </c>
      <c r="L285" s="409" t="str">
        <f>'Shared-2013'!H150</f>
        <v>-</v>
      </c>
      <c r="O285" s="304" t="s">
        <v>89</v>
      </c>
      <c r="Q285" s="44" t="s">
        <v>175</v>
      </c>
      <c r="R285" s="535">
        <v>0.10299999999999999</v>
      </c>
      <c r="S285" s="535">
        <v>0.13100000000000001</v>
      </c>
    </row>
    <row r="286" spans="1:19" x14ac:dyDescent="0.25">
      <c r="C286" s="686" t="s">
        <v>176</v>
      </c>
      <c r="D286" s="725"/>
      <c r="E286" s="725"/>
      <c r="F286" s="725"/>
      <c r="G286" s="687"/>
      <c r="H286" s="366" t="s">
        <v>521</v>
      </c>
      <c r="I286" s="409" t="str">
        <f>'Shared-2013'!F151</f>
        <v>-</v>
      </c>
      <c r="K286" s="366" t="s">
        <v>521</v>
      </c>
      <c r="L286" s="409" t="str">
        <f>'Shared-2013'!H151</f>
        <v>-</v>
      </c>
      <c r="O286" s="304" t="s">
        <v>89</v>
      </c>
      <c r="Q286" s="44" t="s">
        <v>176</v>
      </c>
      <c r="R286" s="535">
        <v>0.17699999999999999</v>
      </c>
      <c r="S286" s="535">
        <v>0.113</v>
      </c>
    </row>
    <row r="287" spans="1:19" x14ac:dyDescent="0.25">
      <c r="C287" s="686" t="s">
        <v>177</v>
      </c>
      <c r="D287" s="725"/>
      <c r="E287" s="725"/>
      <c r="F287" s="725"/>
      <c r="G287" s="687"/>
      <c r="H287" s="366" t="s">
        <v>521</v>
      </c>
      <c r="I287" s="409" t="str">
        <f>'Shared-2013'!F152</f>
        <v>-</v>
      </c>
      <c r="K287" s="366" t="s">
        <v>521</v>
      </c>
      <c r="L287" s="409" t="str">
        <f>'Shared-2013'!H152</f>
        <v>-</v>
      </c>
      <c r="O287" s="304" t="s">
        <v>89</v>
      </c>
      <c r="Q287" s="44" t="s">
        <v>177</v>
      </c>
      <c r="R287" s="535">
        <v>0.113</v>
      </c>
      <c r="S287" s="535">
        <v>6.6000000000000003E-2</v>
      </c>
    </row>
    <row r="288" spans="1:19" x14ac:dyDescent="0.25">
      <c r="C288" s="686" t="s">
        <v>178</v>
      </c>
      <c r="D288" s="725"/>
      <c r="E288" s="725"/>
      <c r="F288" s="725"/>
      <c r="G288" s="687"/>
      <c r="H288" s="366" t="s">
        <v>521</v>
      </c>
      <c r="I288" s="409" t="str">
        <f>'Shared-2013'!F153</f>
        <v>-</v>
      </c>
      <c r="K288" s="366" t="s">
        <v>521</v>
      </c>
      <c r="L288" s="409" t="str">
        <f>'Shared-2013'!H153</f>
        <v>-</v>
      </c>
      <c r="O288" s="304" t="s">
        <v>89</v>
      </c>
      <c r="Q288" s="44" t="s">
        <v>178</v>
      </c>
      <c r="R288" s="535">
        <v>0.186</v>
      </c>
      <c r="S288" s="535">
        <v>8.5000000000000006E-2</v>
      </c>
    </row>
    <row r="289" spans="3:19" x14ac:dyDescent="0.25">
      <c r="C289" s="686" t="s">
        <v>179</v>
      </c>
      <c r="D289" s="725"/>
      <c r="E289" s="725"/>
      <c r="F289" s="725"/>
      <c r="G289" s="687"/>
      <c r="H289" s="366" t="s">
        <v>521</v>
      </c>
      <c r="I289" s="409" t="str">
        <f>'Shared-2013'!F154</f>
        <v>-</v>
      </c>
      <c r="K289" s="366" t="s">
        <v>521</v>
      </c>
      <c r="L289" s="409" t="str">
        <f>'Shared-2013'!H154</f>
        <v>-</v>
      </c>
      <c r="O289" s="304" t="s">
        <v>89</v>
      </c>
      <c r="Q289" s="44" t="s">
        <v>179</v>
      </c>
      <c r="R289" s="535">
        <v>0.186</v>
      </c>
      <c r="S289" s="535">
        <v>0.122</v>
      </c>
    </row>
    <row r="290" spans="3:19" x14ac:dyDescent="0.25">
      <c r="C290" s="686" t="s">
        <v>180</v>
      </c>
      <c r="D290" s="725"/>
      <c r="E290" s="725"/>
      <c r="F290" s="725"/>
      <c r="G290" s="687"/>
      <c r="H290" s="366" t="s">
        <v>521</v>
      </c>
      <c r="I290" s="409" t="str">
        <f>'Shared-2013'!F155</f>
        <v>-</v>
      </c>
      <c r="K290" s="366" t="s">
        <v>521</v>
      </c>
      <c r="L290" s="409" t="str">
        <f>'Shared-2013'!H155</f>
        <v>-</v>
      </c>
      <c r="O290" s="304" t="s">
        <v>89</v>
      </c>
      <c r="Q290" s="44" t="s">
        <v>180</v>
      </c>
      <c r="R290" s="535">
        <v>0.186</v>
      </c>
      <c r="S290" s="535">
        <v>0.159</v>
      </c>
    </row>
    <row r="291" spans="3:19" x14ac:dyDescent="0.25">
      <c r="C291" s="686" t="s">
        <v>181</v>
      </c>
      <c r="D291" s="725"/>
      <c r="E291" s="725"/>
      <c r="F291" s="725"/>
      <c r="G291" s="687"/>
      <c r="H291" s="366" t="s">
        <v>521</v>
      </c>
      <c r="I291" s="409" t="str">
        <f>'Shared-2013'!F156</f>
        <v>-</v>
      </c>
      <c r="K291" s="366" t="s">
        <v>521</v>
      </c>
      <c r="L291" s="409" t="str">
        <f>'Shared-2013'!H156</f>
        <v>-</v>
      </c>
      <c r="O291" s="304" t="s">
        <v>89</v>
      </c>
      <c r="Q291" s="44" t="s">
        <v>181</v>
      </c>
      <c r="R291" s="535">
        <v>0.186</v>
      </c>
      <c r="S291" s="535">
        <v>0.159</v>
      </c>
    </row>
    <row r="292" spans="3:19" x14ac:dyDescent="0.25">
      <c r="C292" s="686" t="s">
        <v>182</v>
      </c>
      <c r="D292" s="725"/>
      <c r="E292" s="725"/>
      <c r="F292" s="725"/>
      <c r="G292" s="687"/>
      <c r="H292" s="366" t="s">
        <v>521</v>
      </c>
      <c r="I292" s="409" t="str">
        <f>'Shared-2013'!F157</f>
        <v>-</v>
      </c>
      <c r="K292" s="366" t="s">
        <v>521</v>
      </c>
      <c r="L292" s="409" t="str">
        <f>'Shared-2013'!H157</f>
        <v>-</v>
      </c>
      <c r="O292" s="304" t="s">
        <v>89</v>
      </c>
      <c r="Q292" s="44" t="s">
        <v>182</v>
      </c>
      <c r="R292" s="535">
        <v>0.186</v>
      </c>
      <c r="S292" s="535">
        <v>0.159</v>
      </c>
    </row>
    <row r="293" spans="3:19" x14ac:dyDescent="0.25">
      <c r="C293" s="688" t="s">
        <v>183</v>
      </c>
      <c r="D293" s="726"/>
      <c r="E293" s="726"/>
      <c r="F293" s="726"/>
      <c r="G293" s="689"/>
      <c r="H293" s="410" t="s">
        <v>521</v>
      </c>
      <c r="I293" s="411" t="str">
        <f>'Shared-2013'!F158</f>
        <v>-</v>
      </c>
      <c r="K293" s="410" t="s">
        <v>521</v>
      </c>
      <c r="L293" s="411" t="str">
        <f>'Shared-2013'!H158</f>
        <v>-</v>
      </c>
      <c r="O293" s="304" t="s">
        <v>89</v>
      </c>
      <c r="Q293" s="45" t="s">
        <v>183</v>
      </c>
      <c r="R293" s="536">
        <v>0.186</v>
      </c>
      <c r="S293" s="536">
        <v>0.159</v>
      </c>
    </row>
    <row r="294" spans="3:19" x14ac:dyDescent="0.25">
      <c r="D294" s="8"/>
      <c r="E294" s="8"/>
      <c r="G294" s="8"/>
      <c r="H294" s="95"/>
      <c r="I294" s="95"/>
      <c r="O294" s="304" t="s">
        <v>89</v>
      </c>
    </row>
    <row r="295" spans="3:19" x14ac:dyDescent="0.25">
      <c r="D295" s="8"/>
      <c r="E295" s="8"/>
      <c r="G295" s="8"/>
      <c r="H295" s="95"/>
      <c r="I295" s="95"/>
      <c r="K295" s="735" t="s">
        <v>1037</v>
      </c>
      <c r="L295" s="691"/>
      <c r="O295" s="304" t="s">
        <v>89</v>
      </c>
    </row>
    <row r="296" spans="3:19" ht="33.75" x14ac:dyDescent="0.25">
      <c r="C296" s="811" t="s">
        <v>167</v>
      </c>
      <c r="D296" s="801"/>
      <c r="E296" s="801"/>
      <c r="F296" s="801"/>
      <c r="G296" s="812"/>
      <c r="H296" s="265" t="s">
        <v>640</v>
      </c>
      <c r="K296" s="265" t="s">
        <v>1041</v>
      </c>
      <c r="L296" s="368"/>
      <c r="O296" s="304" t="s">
        <v>89</v>
      </c>
      <c r="Q296" s="240" t="s">
        <v>190</v>
      </c>
      <c r="R296" s="264" t="s">
        <v>191</v>
      </c>
    </row>
    <row r="297" spans="3:19" x14ac:dyDescent="0.25">
      <c r="C297" s="579" t="s">
        <v>186</v>
      </c>
      <c r="D297" s="725"/>
      <c r="E297" s="725"/>
      <c r="F297" s="725"/>
      <c r="G297" s="687"/>
      <c r="H297" s="366" t="s">
        <v>521</v>
      </c>
      <c r="K297" s="366" t="s">
        <v>521</v>
      </c>
      <c r="L297" s="369"/>
      <c r="O297" s="304" t="s">
        <v>89</v>
      </c>
      <c r="Q297" s="967" t="s">
        <v>186</v>
      </c>
      <c r="R297" s="534">
        <v>3.6999999999999998E-2</v>
      </c>
    </row>
    <row r="298" spans="3:19" x14ac:dyDescent="0.25">
      <c r="C298" s="579" t="s">
        <v>187</v>
      </c>
      <c r="D298" s="725"/>
      <c r="E298" s="725"/>
      <c r="F298" s="725"/>
      <c r="G298" s="687"/>
      <c r="H298" s="366" t="s">
        <v>521</v>
      </c>
      <c r="K298" s="366" t="s">
        <v>521</v>
      </c>
      <c r="L298" s="369"/>
      <c r="O298" s="304" t="s">
        <v>89</v>
      </c>
      <c r="Q298" s="968" t="s">
        <v>187</v>
      </c>
      <c r="R298" s="535">
        <v>-5.1999999999999998E-2</v>
      </c>
    </row>
    <row r="299" spans="3:19" x14ac:dyDescent="0.25">
      <c r="C299" s="579" t="s">
        <v>188</v>
      </c>
      <c r="D299" s="725"/>
      <c r="E299" s="725"/>
      <c r="F299" s="725"/>
      <c r="G299" s="687"/>
      <c r="H299" s="366" t="s">
        <v>521</v>
      </c>
      <c r="K299" s="366" t="s">
        <v>521</v>
      </c>
      <c r="L299" s="369"/>
      <c r="O299" s="304" t="s">
        <v>89</v>
      </c>
      <c r="Q299" s="44" t="s">
        <v>193</v>
      </c>
      <c r="R299" s="535">
        <v>7.0000000000000001E-3</v>
      </c>
    </row>
    <row r="300" spans="3:19" x14ac:dyDescent="0.25">
      <c r="C300" s="580" t="s">
        <v>189</v>
      </c>
      <c r="D300" s="726"/>
      <c r="E300" s="726"/>
      <c r="F300" s="726"/>
      <c r="G300" s="689"/>
      <c r="H300" s="410" t="s">
        <v>521</v>
      </c>
      <c r="K300" s="410" t="s">
        <v>521</v>
      </c>
      <c r="L300" s="372"/>
      <c r="O300" s="304" t="s">
        <v>89</v>
      </c>
      <c r="Q300" s="44" t="s">
        <v>192</v>
      </c>
      <c r="R300" s="535">
        <v>2.1000000000000001E-2</v>
      </c>
    </row>
    <row r="301" spans="3:19" x14ac:dyDescent="0.25">
      <c r="D301" s="8"/>
      <c r="E301" s="8"/>
      <c r="G301" s="8"/>
      <c r="H301" s="95"/>
      <c r="O301" s="304" t="s">
        <v>89</v>
      </c>
      <c r="Q301" s="45" t="s">
        <v>185</v>
      </c>
      <c r="R301" s="536">
        <v>1E-3</v>
      </c>
    </row>
    <row r="302" spans="3:19" ht="33.75" x14ac:dyDescent="0.25">
      <c r="C302" s="811" t="s">
        <v>184</v>
      </c>
      <c r="D302" s="801"/>
      <c r="E302" s="801"/>
      <c r="F302" s="801"/>
      <c r="G302" s="801"/>
      <c r="H302" s="936"/>
      <c r="I302" s="265" t="s">
        <v>1039</v>
      </c>
      <c r="K302" s="370"/>
      <c r="L302" s="265" t="s">
        <v>1040</v>
      </c>
      <c r="O302" s="304" t="s">
        <v>89</v>
      </c>
    </row>
    <row r="303" spans="3:19" x14ac:dyDescent="0.25">
      <c r="C303" s="776" t="s">
        <v>185</v>
      </c>
      <c r="D303" s="778"/>
      <c r="E303" s="777"/>
      <c r="F303" s="777"/>
      <c r="G303" s="777"/>
      <c r="H303" s="778"/>
      <c r="I303" s="413" t="s">
        <v>521</v>
      </c>
      <c r="K303" s="371"/>
      <c r="L303" s="413" t="s">
        <v>521</v>
      </c>
      <c r="O303" s="304" t="s">
        <v>89</v>
      </c>
    </row>
    <row r="304" spans="3:19" x14ac:dyDescent="0.25">
      <c r="C304" s="4"/>
      <c r="D304" s="4"/>
      <c r="E304" s="4"/>
      <c r="F304" s="4"/>
      <c r="O304" s="304" t="s">
        <v>89</v>
      </c>
    </row>
    <row r="305" spans="3:17" x14ac:dyDescent="0.25">
      <c r="C305" s="4"/>
      <c r="D305" s="4"/>
      <c r="E305" s="4"/>
      <c r="F305" s="4"/>
      <c r="O305" s="304" t="s">
        <v>89</v>
      </c>
    </row>
    <row r="306" spans="3:17" x14ac:dyDescent="0.25">
      <c r="C306" s="1043" t="s">
        <v>1049</v>
      </c>
      <c r="D306" s="1111" t="str">
        <f>$D$63</f>
        <v>Alap</v>
      </c>
      <c r="E306" s="4"/>
      <c r="F306" s="4"/>
      <c r="O306" s="304" t="s">
        <v>89</v>
      </c>
    </row>
    <row r="307" spans="3:17" x14ac:dyDescent="0.25">
      <c r="C307" s="1045"/>
      <c r="D307" s="1112"/>
      <c r="E307" s="93"/>
      <c r="F307" s="92"/>
      <c r="O307" s="304" t="s">
        <v>89</v>
      </c>
    </row>
    <row r="308" spans="3:17" ht="9.75" customHeight="1" x14ac:dyDescent="0.25">
      <c r="D308" s="4"/>
      <c r="F308" s="60"/>
      <c r="G308" s="8"/>
      <c r="O308" s="304" t="s">
        <v>89</v>
      </c>
    </row>
    <row r="309" spans="3:17" x14ac:dyDescent="0.25">
      <c r="C309" s="766" t="s">
        <v>71</v>
      </c>
      <c r="D309" s="723"/>
      <c r="E309" s="815"/>
      <c r="F309" s="816"/>
      <c r="G309" s="450" t="str">
        <f>IF(COUNTIF(G310:G312,"&lt;&gt;-")&gt;0,SUM(G310:G312),"-")</f>
        <v>-</v>
      </c>
      <c r="I309" s="518" t="s">
        <v>521</v>
      </c>
      <c r="J309" s="741" t="s">
        <v>775</v>
      </c>
      <c r="K309" s="777"/>
      <c r="L309" s="777"/>
      <c r="M309" s="777"/>
      <c r="N309" s="778"/>
      <c r="O309" s="304" t="s">
        <v>89</v>
      </c>
    </row>
    <row r="310" spans="3:17" x14ac:dyDescent="0.25">
      <c r="C310" s="686" t="s">
        <v>689</v>
      </c>
      <c r="D310" s="725"/>
      <c r="E310" s="817"/>
      <c r="F310" s="818"/>
      <c r="G310" s="514" t="s">
        <v>521</v>
      </c>
      <c r="O310" s="304" t="s">
        <v>89</v>
      </c>
    </row>
    <row r="311" spans="3:17" x14ac:dyDescent="0.25">
      <c r="C311" s="686" t="s">
        <v>690</v>
      </c>
      <c r="D311" s="725"/>
      <c r="E311" s="817"/>
      <c r="F311" s="818"/>
      <c r="G311" s="514" t="s">
        <v>521</v>
      </c>
      <c r="O311" s="304" t="s">
        <v>89</v>
      </c>
    </row>
    <row r="312" spans="3:17" x14ac:dyDescent="0.25">
      <c r="C312" s="688" t="s">
        <v>715</v>
      </c>
      <c r="D312" s="726"/>
      <c r="E312" s="819"/>
      <c r="F312" s="820"/>
      <c r="G312" s="519" t="s">
        <v>521</v>
      </c>
      <c r="I312" s="518" t="s">
        <v>521</v>
      </c>
      <c r="J312" s="741" t="s">
        <v>727</v>
      </c>
      <c r="K312" s="777"/>
      <c r="L312" s="777"/>
      <c r="M312" s="777"/>
      <c r="N312" s="778"/>
      <c r="O312" s="304" t="s">
        <v>89</v>
      </c>
    </row>
    <row r="313" spans="3:17" ht="8.25" customHeight="1" x14ac:dyDescent="0.25">
      <c r="C313" s="4"/>
      <c r="D313" s="4"/>
      <c r="E313" s="4"/>
      <c r="F313" s="4"/>
      <c r="O313" s="304" t="s">
        <v>89</v>
      </c>
    </row>
    <row r="314" spans="3:17" x14ac:dyDescent="0.25">
      <c r="C314" s="4"/>
      <c r="D314" s="4"/>
      <c r="E314" s="4"/>
      <c r="F314" s="735" t="s">
        <v>729</v>
      </c>
      <c r="G314" s="691"/>
      <c r="O314" s="304" t="s">
        <v>89</v>
      </c>
    </row>
    <row r="315" spans="3:17" x14ac:dyDescent="0.25">
      <c r="C315" s="776" t="s">
        <v>713</v>
      </c>
      <c r="D315" s="672" t="s">
        <v>709</v>
      </c>
      <c r="E315" s="207" t="s">
        <v>89</v>
      </c>
      <c r="F315" s="694" t="s">
        <v>517</v>
      </c>
      <c r="G315" s="694" t="s">
        <v>518</v>
      </c>
      <c r="H315" s="766" t="s">
        <v>728</v>
      </c>
      <c r="I315" s="723"/>
      <c r="J315" s="723"/>
      <c r="K315" s="685"/>
      <c r="L315" s="685"/>
      <c r="M315" s="685"/>
      <c r="O315" s="304" t="s">
        <v>89</v>
      </c>
      <c r="P315" s="301" t="s">
        <v>521</v>
      </c>
      <c r="Q315" s="301" t="s">
        <v>521</v>
      </c>
    </row>
    <row r="316" spans="3:17" x14ac:dyDescent="0.25">
      <c r="C316" s="736" t="s">
        <v>67</v>
      </c>
      <c r="D316" s="528" t="s">
        <v>521</v>
      </c>
      <c r="E316" s="207" t="s">
        <v>89</v>
      </c>
      <c r="F316" s="528" t="s">
        <v>521</v>
      </c>
      <c r="G316" s="520" t="s">
        <v>521</v>
      </c>
      <c r="H316" s="1124" t="s">
        <v>714</v>
      </c>
      <c r="I316" s="1125"/>
      <c r="J316" s="1125"/>
      <c r="K316" s="1125"/>
      <c r="L316" s="1125"/>
      <c r="M316" s="1126"/>
      <c r="O316" s="304" t="s">
        <v>89</v>
      </c>
      <c r="P316" s="301" t="s">
        <v>535</v>
      </c>
      <c r="Q316" s="301" t="s">
        <v>714</v>
      </c>
    </row>
    <row r="317" spans="3:17" x14ac:dyDescent="0.25">
      <c r="C317" s="738" t="s">
        <v>164</v>
      </c>
      <c r="D317" s="514" t="s">
        <v>521</v>
      </c>
      <c r="E317" s="207" t="s">
        <v>89</v>
      </c>
      <c r="F317" s="514" t="s">
        <v>521</v>
      </c>
      <c r="G317" s="515" t="s">
        <v>521</v>
      </c>
      <c r="H317" s="1119" t="s">
        <v>714</v>
      </c>
      <c r="I317" s="1120"/>
      <c r="J317" s="1120"/>
      <c r="K317" s="1120"/>
      <c r="L317" s="1120"/>
      <c r="M317" s="1121"/>
      <c r="O317" s="304" t="s">
        <v>89</v>
      </c>
      <c r="P317" s="301" t="s">
        <v>533</v>
      </c>
      <c r="Q317" s="301" t="s">
        <v>1051</v>
      </c>
    </row>
    <row r="318" spans="3:17" x14ac:dyDescent="0.25">
      <c r="C318" s="738" t="s">
        <v>165</v>
      </c>
      <c r="D318" s="514" t="s">
        <v>521</v>
      </c>
      <c r="E318" s="207" t="s">
        <v>89</v>
      </c>
      <c r="F318" s="514" t="s">
        <v>521</v>
      </c>
      <c r="G318" s="515" t="s">
        <v>521</v>
      </c>
      <c r="H318" s="1119" t="s">
        <v>714</v>
      </c>
      <c r="I318" s="1120"/>
      <c r="J318" s="1120"/>
      <c r="K318" s="1120"/>
      <c r="L318" s="1120"/>
      <c r="M318" s="1121"/>
      <c r="O318" s="304" t="s">
        <v>89</v>
      </c>
      <c r="P318" s="301" t="s">
        <v>140</v>
      </c>
      <c r="Q318" s="301" t="s">
        <v>1052</v>
      </c>
    </row>
    <row r="319" spans="3:17" x14ac:dyDescent="0.25">
      <c r="C319" s="738" t="s">
        <v>600</v>
      </c>
      <c r="D319" s="514" t="s">
        <v>521</v>
      </c>
      <c r="E319" s="207" t="s">
        <v>89</v>
      </c>
      <c r="F319" s="514" t="s">
        <v>521</v>
      </c>
      <c r="G319" s="515" t="s">
        <v>521</v>
      </c>
      <c r="H319" s="1119" t="s">
        <v>714</v>
      </c>
      <c r="I319" s="1120"/>
      <c r="J319" s="1120"/>
      <c r="K319" s="1120"/>
      <c r="L319" s="1120"/>
      <c r="M319" s="1121"/>
      <c r="O319" s="304" t="s">
        <v>89</v>
      </c>
    </row>
    <row r="320" spans="3:17" x14ac:dyDescent="0.25">
      <c r="C320" s="738" t="s">
        <v>555</v>
      </c>
      <c r="D320" s="514" t="s">
        <v>521</v>
      </c>
      <c r="E320" s="207" t="s">
        <v>89</v>
      </c>
      <c r="F320" s="514" t="s">
        <v>521</v>
      </c>
      <c r="G320" s="515" t="s">
        <v>521</v>
      </c>
      <c r="H320" s="1119" t="s">
        <v>714</v>
      </c>
      <c r="I320" s="1120"/>
      <c r="J320" s="1120"/>
      <c r="K320" s="1120"/>
      <c r="L320" s="1120"/>
      <c r="M320" s="1121"/>
      <c r="O320" s="304" t="s">
        <v>89</v>
      </c>
    </row>
    <row r="321" spans="3:15" x14ac:dyDescent="0.25">
      <c r="C321" s="738" t="s">
        <v>166</v>
      </c>
      <c r="D321" s="514" t="s">
        <v>521</v>
      </c>
      <c r="E321" s="207" t="s">
        <v>89</v>
      </c>
      <c r="F321" s="514" t="s">
        <v>521</v>
      </c>
      <c r="G321" s="515" t="s">
        <v>521</v>
      </c>
      <c r="H321" s="1119" t="s">
        <v>714</v>
      </c>
      <c r="I321" s="1120"/>
      <c r="J321" s="1120"/>
      <c r="K321" s="1120"/>
      <c r="L321" s="1120"/>
      <c r="M321" s="1121"/>
      <c r="O321" s="304" t="s">
        <v>89</v>
      </c>
    </row>
    <row r="322" spans="3:15" x14ac:dyDescent="0.25">
      <c r="C322" s="738" t="s">
        <v>557</v>
      </c>
      <c r="D322" s="514" t="s">
        <v>521</v>
      </c>
      <c r="E322" s="207" t="s">
        <v>89</v>
      </c>
      <c r="F322" s="514" t="s">
        <v>521</v>
      </c>
      <c r="G322" s="515" t="s">
        <v>521</v>
      </c>
      <c r="H322" s="1119" t="s">
        <v>714</v>
      </c>
      <c r="I322" s="1120"/>
      <c r="J322" s="1120"/>
      <c r="K322" s="1120"/>
      <c r="L322" s="1120"/>
      <c r="M322" s="1121"/>
      <c r="O322" s="304" t="s">
        <v>89</v>
      </c>
    </row>
    <row r="323" spans="3:15" x14ac:dyDescent="0.25">
      <c r="C323" s="738" t="s">
        <v>711</v>
      </c>
      <c r="D323" s="514" t="s">
        <v>521</v>
      </c>
      <c r="E323" s="207" t="s">
        <v>89</v>
      </c>
      <c r="F323" s="514" t="s">
        <v>521</v>
      </c>
      <c r="G323" s="515" t="s">
        <v>521</v>
      </c>
      <c r="H323" s="1119" t="s">
        <v>714</v>
      </c>
      <c r="I323" s="1120"/>
      <c r="J323" s="1120"/>
      <c r="K323" s="1120"/>
      <c r="L323" s="1120"/>
      <c r="M323" s="1121"/>
      <c r="O323" s="304" t="s">
        <v>89</v>
      </c>
    </row>
    <row r="324" spans="3:15" x14ac:dyDescent="0.25">
      <c r="C324" s="738" t="s">
        <v>710</v>
      </c>
      <c r="D324" s="519" t="s">
        <v>521</v>
      </c>
      <c r="E324" s="207" t="s">
        <v>89</v>
      </c>
      <c r="F324" s="519" t="s">
        <v>521</v>
      </c>
      <c r="G324" s="525" t="s">
        <v>521</v>
      </c>
      <c r="H324" s="1127" t="s">
        <v>714</v>
      </c>
      <c r="I324" s="1128"/>
      <c r="J324" s="1128"/>
      <c r="K324" s="1128"/>
      <c r="L324" s="1128"/>
      <c r="M324" s="1129"/>
      <c r="O324" s="304" t="s">
        <v>89</v>
      </c>
    </row>
    <row r="325" spans="3:15" x14ac:dyDescent="0.25">
      <c r="C325" s="717" t="s">
        <v>1167</v>
      </c>
      <c r="D325" s="528" t="s">
        <v>521</v>
      </c>
      <c r="E325" s="207" t="s">
        <v>89</v>
      </c>
      <c r="F325" s="528" t="s">
        <v>521</v>
      </c>
      <c r="G325" s="520" t="s">
        <v>521</v>
      </c>
      <c r="H325" s="1124" t="s">
        <v>714</v>
      </c>
      <c r="I325" s="1125"/>
      <c r="J325" s="1125"/>
      <c r="K325" s="1125"/>
      <c r="L325" s="1125"/>
      <c r="M325" s="1126"/>
      <c r="O325" s="304" t="s">
        <v>89</v>
      </c>
    </row>
    <row r="326" spans="3:15" x14ac:dyDescent="0.25">
      <c r="C326" s="720" t="s">
        <v>776</v>
      </c>
      <c r="D326" s="519" t="s">
        <v>521</v>
      </c>
      <c r="E326" s="207" t="s">
        <v>89</v>
      </c>
      <c r="F326" s="519" t="s">
        <v>521</v>
      </c>
      <c r="G326" s="525" t="s">
        <v>521</v>
      </c>
      <c r="H326" s="1127" t="s">
        <v>714</v>
      </c>
      <c r="I326" s="1128"/>
      <c r="J326" s="1128"/>
      <c r="K326" s="1128"/>
      <c r="L326" s="1128"/>
      <c r="M326" s="1129"/>
      <c r="O326" s="304" t="s">
        <v>89</v>
      </c>
    </row>
    <row r="327" spans="3:15" x14ac:dyDescent="0.25">
      <c r="C327" s="515" t="s">
        <v>712</v>
      </c>
      <c r="D327" s="524"/>
      <c r="E327" s="207" t="s">
        <v>89</v>
      </c>
      <c r="F327" s="514" t="s">
        <v>521</v>
      </c>
      <c r="G327" s="514" t="s">
        <v>521</v>
      </c>
      <c r="O327" s="304" t="s">
        <v>89</v>
      </c>
    </row>
    <row r="328" spans="3:15" x14ac:dyDescent="0.25">
      <c r="C328" s="515" t="s">
        <v>716</v>
      </c>
      <c r="D328" s="524"/>
      <c r="E328" s="207" t="s">
        <v>89</v>
      </c>
      <c r="F328" s="514" t="s">
        <v>521</v>
      </c>
      <c r="G328" s="514" t="s">
        <v>521</v>
      </c>
      <c r="O328" s="304" t="s">
        <v>89</v>
      </c>
    </row>
    <row r="329" spans="3:15" x14ac:dyDescent="0.25">
      <c r="C329" s="515" t="s">
        <v>717</v>
      </c>
      <c r="D329" s="524"/>
      <c r="E329" s="207" t="s">
        <v>89</v>
      </c>
      <c r="F329" s="514" t="s">
        <v>521</v>
      </c>
      <c r="G329" s="514" t="s">
        <v>521</v>
      </c>
      <c r="O329" s="304" t="s">
        <v>89</v>
      </c>
    </row>
    <row r="330" spans="3:15" x14ac:dyDescent="0.25">
      <c r="C330" s="515" t="s">
        <v>718</v>
      </c>
      <c r="D330" s="524"/>
      <c r="E330" s="207" t="s">
        <v>89</v>
      </c>
      <c r="F330" s="514" t="s">
        <v>521</v>
      </c>
      <c r="G330" s="514" t="s">
        <v>521</v>
      </c>
      <c r="O330" s="304" t="s">
        <v>89</v>
      </c>
    </row>
    <row r="331" spans="3:15" x14ac:dyDescent="0.25">
      <c r="C331" s="515" t="s">
        <v>719</v>
      </c>
      <c r="D331" s="524"/>
      <c r="E331" s="207" t="s">
        <v>89</v>
      </c>
      <c r="F331" s="514" t="s">
        <v>521</v>
      </c>
      <c r="G331" s="514" t="s">
        <v>521</v>
      </c>
      <c r="O331" s="304" t="s">
        <v>89</v>
      </c>
    </row>
    <row r="332" spans="3:15" x14ac:dyDescent="0.25">
      <c r="C332" s="515" t="s">
        <v>720</v>
      </c>
      <c r="D332" s="524"/>
      <c r="E332" s="207" t="s">
        <v>89</v>
      </c>
      <c r="F332" s="514" t="s">
        <v>521</v>
      </c>
      <c r="G332" s="514" t="s">
        <v>521</v>
      </c>
      <c r="O332" s="304" t="s">
        <v>89</v>
      </c>
    </row>
    <row r="333" spans="3:15" x14ac:dyDescent="0.25">
      <c r="C333" s="515" t="s">
        <v>721</v>
      </c>
      <c r="D333" s="524"/>
      <c r="E333" s="207" t="s">
        <v>89</v>
      </c>
      <c r="F333" s="514" t="s">
        <v>521</v>
      </c>
      <c r="G333" s="514" t="s">
        <v>521</v>
      </c>
      <c r="O333" s="304" t="s">
        <v>89</v>
      </c>
    </row>
    <row r="334" spans="3:15" x14ac:dyDescent="0.25">
      <c r="C334" s="515" t="s">
        <v>722</v>
      </c>
      <c r="D334" s="524"/>
      <c r="E334" s="207" t="s">
        <v>89</v>
      </c>
      <c r="F334" s="514" t="s">
        <v>521</v>
      </c>
      <c r="G334" s="514" t="s">
        <v>521</v>
      </c>
      <c r="O334" s="304" t="s">
        <v>89</v>
      </c>
    </row>
    <row r="335" spans="3:15" x14ac:dyDescent="0.25">
      <c r="C335" s="515" t="s">
        <v>723</v>
      </c>
      <c r="D335" s="524"/>
      <c r="E335" s="207" t="s">
        <v>89</v>
      </c>
      <c r="F335" s="514" t="s">
        <v>521</v>
      </c>
      <c r="G335" s="514" t="s">
        <v>521</v>
      </c>
      <c r="O335" s="304" t="s">
        <v>89</v>
      </c>
    </row>
    <row r="336" spans="3:15" x14ac:dyDescent="0.25">
      <c r="C336" s="515" t="s">
        <v>724</v>
      </c>
      <c r="D336" s="524"/>
      <c r="E336" s="207" t="s">
        <v>89</v>
      </c>
      <c r="F336" s="514" t="s">
        <v>521</v>
      </c>
      <c r="G336" s="514" t="s">
        <v>521</v>
      </c>
      <c r="O336" s="304" t="s">
        <v>89</v>
      </c>
    </row>
    <row r="337" spans="1:15" x14ac:dyDescent="0.25">
      <c r="C337" s="515" t="s">
        <v>725</v>
      </c>
      <c r="D337" s="524"/>
      <c r="E337" s="207" t="s">
        <v>89</v>
      </c>
      <c r="F337" s="514" t="s">
        <v>521</v>
      </c>
      <c r="G337" s="514" t="s">
        <v>521</v>
      </c>
      <c r="O337" s="304" t="s">
        <v>89</v>
      </c>
    </row>
    <row r="338" spans="1:15" x14ac:dyDescent="0.25">
      <c r="C338" s="515" t="s">
        <v>726</v>
      </c>
      <c r="D338" s="524"/>
      <c r="E338" s="207" t="s">
        <v>89</v>
      </c>
      <c r="F338" s="514" t="s">
        <v>521</v>
      </c>
      <c r="G338" s="514" t="s">
        <v>521</v>
      </c>
      <c r="O338" s="304" t="s">
        <v>89</v>
      </c>
    </row>
    <row r="339" spans="1:15" x14ac:dyDescent="0.25">
      <c r="O339" s="304" t="s">
        <v>89</v>
      </c>
    </row>
    <row r="340" spans="1:15" x14ac:dyDescent="0.25">
      <c r="O340" s="304" t="s">
        <v>89</v>
      </c>
    </row>
    <row r="341" spans="1:15" x14ac:dyDescent="0.25">
      <c r="C341" s="1043" t="s">
        <v>1050</v>
      </c>
      <c r="D341" s="1111" t="str">
        <f>$D$63</f>
        <v>Alap</v>
      </c>
      <c r="O341" s="304" t="s">
        <v>89</v>
      </c>
    </row>
    <row r="342" spans="1:15" x14ac:dyDescent="0.25">
      <c r="C342" s="1045"/>
      <c r="D342" s="1112"/>
      <c r="O342" s="304" t="s">
        <v>89</v>
      </c>
    </row>
    <row r="343" spans="1:15" x14ac:dyDescent="0.25">
      <c r="O343" s="304" t="s">
        <v>89</v>
      </c>
    </row>
    <row r="344" spans="1:15" x14ac:dyDescent="0.25">
      <c r="C344" s="181" t="s">
        <v>697</v>
      </c>
      <c r="D344" s="695" t="s">
        <v>514</v>
      </c>
      <c r="E344" s="157" t="s">
        <v>89</v>
      </c>
      <c r="F344" s="695" t="s">
        <v>516</v>
      </c>
      <c r="G344" s="695" t="s">
        <v>699</v>
      </c>
      <c r="H344" s="695" t="s">
        <v>700</v>
      </c>
      <c r="I344" s="695" t="s">
        <v>701</v>
      </c>
      <c r="J344" s="695" t="s">
        <v>504</v>
      </c>
      <c r="K344" s="695" t="s">
        <v>702</v>
      </c>
      <c r="L344" s="695" t="s">
        <v>703</v>
      </c>
      <c r="O344" s="304" t="s">
        <v>89</v>
      </c>
    </row>
    <row r="345" spans="1:15" x14ac:dyDescent="0.25">
      <c r="C345" s="821" t="s">
        <v>707</v>
      </c>
      <c r="D345" s="451">
        <v>0</v>
      </c>
      <c r="E345" s="161" t="s">
        <v>89</v>
      </c>
      <c r="F345" s="451">
        <f>SUM(H12:I12)</f>
        <v>0</v>
      </c>
      <c r="G345" s="451">
        <f>SUM(H13:I13)</f>
        <v>0</v>
      </c>
      <c r="H345" s="451">
        <f>SUM(H14:I14)</f>
        <v>0</v>
      </c>
      <c r="I345" s="451">
        <f>SUM(H15:I15)</f>
        <v>0</v>
      </c>
      <c r="J345" s="451">
        <f>SUM(H16:I16)</f>
        <v>0</v>
      </c>
      <c r="K345" s="451">
        <f>SUM(H17:I17)</f>
        <v>0</v>
      </c>
      <c r="L345" s="451">
        <f>SUM(F24)</f>
        <v>0</v>
      </c>
      <c r="O345" s="304" t="s">
        <v>89</v>
      </c>
    </row>
    <row r="346" spans="1:15" x14ac:dyDescent="0.25">
      <c r="A346" s="241"/>
      <c r="B346" s="241"/>
      <c r="C346" s="241"/>
      <c r="D346" s="241"/>
      <c r="E346" s="241"/>
      <c r="F346" s="241"/>
      <c r="G346" s="241"/>
      <c r="H346" s="292"/>
      <c r="I346" s="242"/>
      <c r="O346" s="304" t="s">
        <v>89</v>
      </c>
    </row>
    <row r="347" spans="1:15" x14ac:dyDescent="0.25">
      <c r="C347" s="311" t="s">
        <v>41</v>
      </c>
      <c r="D347" s="745" t="s">
        <v>514</v>
      </c>
      <c r="E347" s="157" t="s">
        <v>89</v>
      </c>
      <c r="F347" s="745" t="s">
        <v>516</v>
      </c>
      <c r="G347" s="745" t="s">
        <v>699</v>
      </c>
      <c r="H347" s="745" t="s">
        <v>700</v>
      </c>
      <c r="I347" s="745" t="s">
        <v>701</v>
      </c>
      <c r="J347" s="745" t="s">
        <v>504</v>
      </c>
      <c r="K347" s="745" t="s">
        <v>702</v>
      </c>
      <c r="L347" s="745" t="s">
        <v>703</v>
      </c>
      <c r="O347" s="304" t="s">
        <v>89</v>
      </c>
    </row>
    <row r="348" spans="1:15" x14ac:dyDescent="0.25">
      <c r="C348" s="822">
        <v>1</v>
      </c>
      <c r="D348" s="551">
        <f>SUM(F348:K348)</f>
        <v>0</v>
      </c>
      <c r="E348" s="157" t="s">
        <v>89</v>
      </c>
      <c r="F348" s="560" t="s">
        <v>521</v>
      </c>
      <c r="G348" s="560" t="s">
        <v>521</v>
      </c>
      <c r="H348" s="560" t="s">
        <v>521</v>
      </c>
      <c r="I348" s="560" t="s">
        <v>521</v>
      </c>
      <c r="J348" s="560" t="s">
        <v>521</v>
      </c>
      <c r="K348" s="560" t="s">
        <v>521</v>
      </c>
      <c r="L348" s="560" t="s">
        <v>521</v>
      </c>
      <c r="O348" s="304" t="s">
        <v>89</v>
      </c>
    </row>
    <row r="349" spans="1:15" x14ac:dyDescent="0.25">
      <c r="C349" s="823">
        <v>2</v>
      </c>
      <c r="D349" s="552">
        <f t="shared" ref="D349:D412" si="17">SUM(F349:K349)</f>
        <v>0</v>
      </c>
      <c r="E349" s="155" t="s">
        <v>89</v>
      </c>
      <c r="F349" s="561" t="s">
        <v>521</v>
      </c>
      <c r="G349" s="561" t="s">
        <v>521</v>
      </c>
      <c r="H349" s="561" t="s">
        <v>521</v>
      </c>
      <c r="I349" s="561" t="s">
        <v>521</v>
      </c>
      <c r="J349" s="561" t="s">
        <v>521</v>
      </c>
      <c r="K349" s="561" t="s">
        <v>521</v>
      </c>
      <c r="L349" s="561" t="s">
        <v>521</v>
      </c>
      <c r="O349" s="304" t="s">
        <v>89</v>
      </c>
    </row>
    <row r="350" spans="1:15" x14ac:dyDescent="0.25">
      <c r="C350" s="823">
        <v>3</v>
      </c>
      <c r="D350" s="552">
        <f t="shared" si="17"/>
        <v>0</v>
      </c>
      <c r="E350" s="155" t="s">
        <v>89</v>
      </c>
      <c r="F350" s="561" t="s">
        <v>521</v>
      </c>
      <c r="G350" s="561" t="s">
        <v>521</v>
      </c>
      <c r="H350" s="561" t="s">
        <v>521</v>
      </c>
      <c r="I350" s="561" t="s">
        <v>521</v>
      </c>
      <c r="J350" s="561" t="s">
        <v>521</v>
      </c>
      <c r="K350" s="561" t="s">
        <v>521</v>
      </c>
      <c r="L350" s="561" t="s">
        <v>521</v>
      </c>
      <c r="O350" s="304" t="s">
        <v>89</v>
      </c>
    </row>
    <row r="351" spans="1:15" x14ac:dyDescent="0.25">
      <c r="C351" s="823">
        <v>4</v>
      </c>
      <c r="D351" s="552">
        <f t="shared" si="17"/>
        <v>0</v>
      </c>
      <c r="E351" s="155" t="s">
        <v>89</v>
      </c>
      <c r="F351" s="561" t="s">
        <v>521</v>
      </c>
      <c r="G351" s="561" t="s">
        <v>521</v>
      </c>
      <c r="H351" s="561" t="s">
        <v>521</v>
      </c>
      <c r="I351" s="561" t="s">
        <v>521</v>
      </c>
      <c r="J351" s="561" t="s">
        <v>521</v>
      </c>
      <c r="K351" s="561" t="s">
        <v>521</v>
      </c>
      <c r="L351" s="561" t="s">
        <v>521</v>
      </c>
      <c r="O351" s="304" t="s">
        <v>89</v>
      </c>
    </row>
    <row r="352" spans="1:15" x14ac:dyDescent="0.25">
      <c r="C352" s="823">
        <v>5</v>
      </c>
      <c r="D352" s="552">
        <f t="shared" si="17"/>
        <v>0</v>
      </c>
      <c r="E352" s="155" t="s">
        <v>89</v>
      </c>
      <c r="F352" s="561" t="s">
        <v>521</v>
      </c>
      <c r="G352" s="561" t="s">
        <v>521</v>
      </c>
      <c r="H352" s="561" t="s">
        <v>521</v>
      </c>
      <c r="I352" s="561" t="s">
        <v>521</v>
      </c>
      <c r="J352" s="561" t="s">
        <v>521</v>
      </c>
      <c r="K352" s="561" t="s">
        <v>521</v>
      </c>
      <c r="L352" s="561" t="s">
        <v>521</v>
      </c>
      <c r="O352" s="304" t="s">
        <v>89</v>
      </c>
    </row>
    <row r="353" spans="3:15" x14ac:dyDescent="0.25">
      <c r="C353" s="823">
        <v>6</v>
      </c>
      <c r="D353" s="552">
        <f t="shared" si="17"/>
        <v>0</v>
      </c>
      <c r="E353" s="155" t="s">
        <v>89</v>
      </c>
      <c r="F353" s="561" t="s">
        <v>521</v>
      </c>
      <c r="G353" s="561" t="s">
        <v>521</v>
      </c>
      <c r="H353" s="561" t="s">
        <v>521</v>
      </c>
      <c r="I353" s="561" t="s">
        <v>521</v>
      </c>
      <c r="J353" s="561" t="s">
        <v>521</v>
      </c>
      <c r="K353" s="561" t="s">
        <v>521</v>
      </c>
      <c r="L353" s="561" t="s">
        <v>521</v>
      </c>
      <c r="O353" s="304" t="s">
        <v>89</v>
      </c>
    </row>
    <row r="354" spans="3:15" x14ac:dyDescent="0.25">
      <c r="C354" s="823">
        <v>7</v>
      </c>
      <c r="D354" s="552">
        <f t="shared" si="17"/>
        <v>0</v>
      </c>
      <c r="E354" s="155" t="s">
        <v>89</v>
      </c>
      <c r="F354" s="561" t="s">
        <v>521</v>
      </c>
      <c r="G354" s="561" t="s">
        <v>521</v>
      </c>
      <c r="H354" s="561" t="s">
        <v>521</v>
      </c>
      <c r="I354" s="561" t="s">
        <v>521</v>
      </c>
      <c r="J354" s="561" t="s">
        <v>521</v>
      </c>
      <c r="K354" s="561" t="s">
        <v>521</v>
      </c>
      <c r="L354" s="561" t="s">
        <v>521</v>
      </c>
      <c r="O354" s="304" t="s">
        <v>89</v>
      </c>
    </row>
    <row r="355" spans="3:15" x14ac:dyDescent="0.25">
      <c r="C355" s="823">
        <v>8</v>
      </c>
      <c r="D355" s="552">
        <f t="shared" si="17"/>
        <v>0</v>
      </c>
      <c r="E355" s="155" t="s">
        <v>89</v>
      </c>
      <c r="F355" s="561" t="s">
        <v>521</v>
      </c>
      <c r="G355" s="561" t="s">
        <v>521</v>
      </c>
      <c r="H355" s="561" t="s">
        <v>521</v>
      </c>
      <c r="I355" s="561" t="s">
        <v>521</v>
      </c>
      <c r="J355" s="561" t="s">
        <v>521</v>
      </c>
      <c r="K355" s="561" t="s">
        <v>521</v>
      </c>
      <c r="L355" s="561" t="s">
        <v>521</v>
      </c>
      <c r="O355" s="304" t="s">
        <v>89</v>
      </c>
    </row>
    <row r="356" spans="3:15" x14ac:dyDescent="0.25">
      <c r="C356" s="823">
        <v>9</v>
      </c>
      <c r="D356" s="552">
        <f t="shared" si="17"/>
        <v>0</v>
      </c>
      <c r="E356" s="155" t="s">
        <v>89</v>
      </c>
      <c r="F356" s="561" t="s">
        <v>521</v>
      </c>
      <c r="G356" s="561" t="s">
        <v>521</v>
      </c>
      <c r="H356" s="561" t="s">
        <v>521</v>
      </c>
      <c r="I356" s="561" t="s">
        <v>521</v>
      </c>
      <c r="J356" s="561" t="s">
        <v>521</v>
      </c>
      <c r="K356" s="561" t="s">
        <v>521</v>
      </c>
      <c r="L356" s="561" t="s">
        <v>521</v>
      </c>
      <c r="O356" s="304" t="s">
        <v>89</v>
      </c>
    </row>
    <row r="357" spans="3:15" x14ac:dyDescent="0.25">
      <c r="C357" s="823">
        <v>10</v>
      </c>
      <c r="D357" s="552">
        <f t="shared" si="17"/>
        <v>0</v>
      </c>
      <c r="E357" s="155" t="s">
        <v>89</v>
      </c>
      <c r="F357" s="561" t="s">
        <v>521</v>
      </c>
      <c r="G357" s="561" t="s">
        <v>521</v>
      </c>
      <c r="H357" s="561" t="s">
        <v>521</v>
      </c>
      <c r="I357" s="561" t="s">
        <v>521</v>
      </c>
      <c r="J357" s="561" t="s">
        <v>521</v>
      </c>
      <c r="K357" s="561" t="s">
        <v>521</v>
      </c>
      <c r="L357" s="561" t="s">
        <v>521</v>
      </c>
      <c r="O357" s="304" t="s">
        <v>89</v>
      </c>
    </row>
    <row r="358" spans="3:15" x14ac:dyDescent="0.25">
      <c r="C358" s="823">
        <v>11</v>
      </c>
      <c r="D358" s="552">
        <f t="shared" si="17"/>
        <v>0</v>
      </c>
      <c r="E358" s="155" t="s">
        <v>89</v>
      </c>
      <c r="F358" s="561" t="s">
        <v>521</v>
      </c>
      <c r="G358" s="561" t="s">
        <v>521</v>
      </c>
      <c r="H358" s="561" t="s">
        <v>521</v>
      </c>
      <c r="I358" s="561" t="s">
        <v>521</v>
      </c>
      <c r="J358" s="561" t="s">
        <v>521</v>
      </c>
      <c r="K358" s="561" t="s">
        <v>521</v>
      </c>
      <c r="L358" s="561" t="s">
        <v>521</v>
      </c>
      <c r="O358" s="304" t="s">
        <v>89</v>
      </c>
    </row>
    <row r="359" spans="3:15" x14ac:dyDescent="0.25">
      <c r="C359" s="823">
        <v>12</v>
      </c>
      <c r="D359" s="552">
        <f t="shared" si="17"/>
        <v>0</v>
      </c>
      <c r="E359" s="155" t="s">
        <v>89</v>
      </c>
      <c r="F359" s="561" t="s">
        <v>521</v>
      </c>
      <c r="G359" s="561" t="s">
        <v>521</v>
      </c>
      <c r="H359" s="561" t="s">
        <v>521</v>
      </c>
      <c r="I359" s="561" t="s">
        <v>521</v>
      </c>
      <c r="J359" s="561" t="s">
        <v>521</v>
      </c>
      <c r="K359" s="561" t="s">
        <v>521</v>
      </c>
      <c r="L359" s="561" t="s">
        <v>521</v>
      </c>
      <c r="O359" s="304" t="s">
        <v>89</v>
      </c>
    </row>
    <row r="360" spans="3:15" x14ac:dyDescent="0.25">
      <c r="C360" s="823">
        <v>13</v>
      </c>
      <c r="D360" s="552">
        <f t="shared" si="17"/>
        <v>0</v>
      </c>
      <c r="E360" s="155" t="s">
        <v>89</v>
      </c>
      <c r="F360" s="561" t="s">
        <v>521</v>
      </c>
      <c r="G360" s="561" t="s">
        <v>521</v>
      </c>
      <c r="H360" s="561" t="s">
        <v>521</v>
      </c>
      <c r="I360" s="561" t="s">
        <v>521</v>
      </c>
      <c r="J360" s="561" t="s">
        <v>521</v>
      </c>
      <c r="K360" s="561" t="s">
        <v>521</v>
      </c>
      <c r="L360" s="561" t="s">
        <v>521</v>
      </c>
      <c r="O360" s="304" t="s">
        <v>89</v>
      </c>
    </row>
    <row r="361" spans="3:15" x14ac:dyDescent="0.25">
      <c r="C361" s="823">
        <v>14</v>
      </c>
      <c r="D361" s="552">
        <f t="shared" si="17"/>
        <v>0</v>
      </c>
      <c r="E361" s="155" t="s">
        <v>89</v>
      </c>
      <c r="F361" s="561" t="s">
        <v>521</v>
      </c>
      <c r="G361" s="561" t="s">
        <v>521</v>
      </c>
      <c r="H361" s="561" t="s">
        <v>521</v>
      </c>
      <c r="I361" s="561" t="s">
        <v>521</v>
      </c>
      <c r="J361" s="561" t="s">
        <v>521</v>
      </c>
      <c r="K361" s="561" t="s">
        <v>521</v>
      </c>
      <c r="L361" s="561" t="s">
        <v>521</v>
      </c>
      <c r="O361" s="304" t="s">
        <v>89</v>
      </c>
    </row>
    <row r="362" spans="3:15" x14ac:dyDescent="0.25">
      <c r="C362" s="823">
        <v>15</v>
      </c>
      <c r="D362" s="552">
        <f t="shared" si="17"/>
        <v>0</v>
      </c>
      <c r="E362" s="155" t="s">
        <v>89</v>
      </c>
      <c r="F362" s="561" t="s">
        <v>521</v>
      </c>
      <c r="G362" s="561" t="s">
        <v>521</v>
      </c>
      <c r="H362" s="561" t="s">
        <v>521</v>
      </c>
      <c r="I362" s="561" t="s">
        <v>521</v>
      </c>
      <c r="J362" s="561" t="s">
        <v>521</v>
      </c>
      <c r="K362" s="561" t="s">
        <v>521</v>
      </c>
      <c r="L362" s="561" t="s">
        <v>521</v>
      </c>
      <c r="O362" s="304" t="s">
        <v>89</v>
      </c>
    </row>
    <row r="363" spans="3:15" x14ac:dyDescent="0.25">
      <c r="C363" s="823">
        <v>16</v>
      </c>
      <c r="D363" s="552">
        <f t="shared" si="17"/>
        <v>0</v>
      </c>
      <c r="E363" s="155" t="s">
        <v>89</v>
      </c>
      <c r="F363" s="561" t="s">
        <v>521</v>
      </c>
      <c r="G363" s="561" t="s">
        <v>521</v>
      </c>
      <c r="H363" s="561" t="s">
        <v>521</v>
      </c>
      <c r="I363" s="561" t="s">
        <v>521</v>
      </c>
      <c r="J363" s="561" t="s">
        <v>521</v>
      </c>
      <c r="K363" s="561" t="s">
        <v>521</v>
      </c>
      <c r="L363" s="561" t="s">
        <v>521</v>
      </c>
      <c r="O363" s="304" t="s">
        <v>89</v>
      </c>
    </row>
    <row r="364" spans="3:15" x14ac:dyDescent="0.25">
      <c r="C364" s="823">
        <v>17</v>
      </c>
      <c r="D364" s="552">
        <f t="shared" si="17"/>
        <v>0</v>
      </c>
      <c r="E364" s="155" t="s">
        <v>89</v>
      </c>
      <c r="F364" s="561" t="s">
        <v>521</v>
      </c>
      <c r="G364" s="561" t="s">
        <v>521</v>
      </c>
      <c r="H364" s="561" t="s">
        <v>521</v>
      </c>
      <c r="I364" s="561" t="s">
        <v>521</v>
      </c>
      <c r="J364" s="561" t="s">
        <v>521</v>
      </c>
      <c r="K364" s="561" t="s">
        <v>521</v>
      </c>
      <c r="L364" s="561" t="s">
        <v>521</v>
      </c>
      <c r="O364" s="304" t="s">
        <v>89</v>
      </c>
    </row>
    <row r="365" spans="3:15" x14ac:dyDescent="0.25">
      <c r="C365" s="823">
        <v>18</v>
      </c>
      <c r="D365" s="552">
        <f t="shared" si="17"/>
        <v>0</v>
      </c>
      <c r="E365" s="155" t="s">
        <v>89</v>
      </c>
      <c r="F365" s="561" t="s">
        <v>521</v>
      </c>
      <c r="G365" s="561" t="s">
        <v>521</v>
      </c>
      <c r="H365" s="561" t="s">
        <v>521</v>
      </c>
      <c r="I365" s="561" t="s">
        <v>521</v>
      </c>
      <c r="J365" s="561" t="s">
        <v>521</v>
      </c>
      <c r="K365" s="561" t="s">
        <v>521</v>
      </c>
      <c r="L365" s="561" t="s">
        <v>521</v>
      </c>
      <c r="O365" s="304" t="s">
        <v>89</v>
      </c>
    </row>
    <row r="366" spans="3:15" x14ac:dyDescent="0.25">
      <c r="C366" s="823">
        <v>19</v>
      </c>
      <c r="D366" s="552">
        <f t="shared" si="17"/>
        <v>0</v>
      </c>
      <c r="E366" s="155" t="s">
        <v>89</v>
      </c>
      <c r="F366" s="561" t="s">
        <v>521</v>
      </c>
      <c r="G366" s="561" t="s">
        <v>521</v>
      </c>
      <c r="H366" s="561" t="s">
        <v>521</v>
      </c>
      <c r="I366" s="561" t="s">
        <v>521</v>
      </c>
      <c r="J366" s="561" t="s">
        <v>521</v>
      </c>
      <c r="K366" s="561" t="s">
        <v>521</v>
      </c>
      <c r="L366" s="561" t="s">
        <v>521</v>
      </c>
      <c r="O366" s="304" t="s">
        <v>89</v>
      </c>
    </row>
    <row r="367" spans="3:15" x14ac:dyDescent="0.25">
      <c r="C367" s="823">
        <v>20</v>
      </c>
      <c r="D367" s="552">
        <f t="shared" si="17"/>
        <v>0</v>
      </c>
      <c r="E367" s="155" t="s">
        <v>89</v>
      </c>
      <c r="F367" s="561" t="s">
        <v>521</v>
      </c>
      <c r="G367" s="561" t="s">
        <v>521</v>
      </c>
      <c r="H367" s="561" t="s">
        <v>521</v>
      </c>
      <c r="I367" s="561" t="s">
        <v>521</v>
      </c>
      <c r="J367" s="561" t="s">
        <v>521</v>
      </c>
      <c r="K367" s="561" t="s">
        <v>521</v>
      </c>
      <c r="L367" s="561" t="s">
        <v>521</v>
      </c>
      <c r="O367" s="304" t="s">
        <v>89</v>
      </c>
    </row>
    <row r="368" spans="3:15" x14ac:dyDescent="0.25">
      <c r="C368" s="823">
        <v>21</v>
      </c>
      <c r="D368" s="552">
        <f t="shared" si="17"/>
        <v>0</v>
      </c>
      <c r="E368" s="155" t="s">
        <v>89</v>
      </c>
      <c r="F368" s="561" t="s">
        <v>521</v>
      </c>
      <c r="G368" s="561" t="s">
        <v>521</v>
      </c>
      <c r="H368" s="561" t="s">
        <v>521</v>
      </c>
      <c r="I368" s="561" t="s">
        <v>521</v>
      </c>
      <c r="J368" s="561" t="s">
        <v>521</v>
      </c>
      <c r="K368" s="561" t="s">
        <v>521</v>
      </c>
      <c r="L368" s="561" t="s">
        <v>521</v>
      </c>
      <c r="O368" s="304" t="s">
        <v>89</v>
      </c>
    </row>
    <row r="369" spans="3:15" x14ac:dyDescent="0.25">
      <c r="C369" s="823">
        <v>22</v>
      </c>
      <c r="D369" s="552">
        <f t="shared" si="17"/>
        <v>0</v>
      </c>
      <c r="E369" s="155" t="s">
        <v>89</v>
      </c>
      <c r="F369" s="561" t="s">
        <v>521</v>
      </c>
      <c r="G369" s="561" t="s">
        <v>521</v>
      </c>
      <c r="H369" s="561" t="s">
        <v>521</v>
      </c>
      <c r="I369" s="561" t="s">
        <v>521</v>
      </c>
      <c r="J369" s="561" t="s">
        <v>521</v>
      </c>
      <c r="K369" s="561" t="s">
        <v>521</v>
      </c>
      <c r="L369" s="561" t="s">
        <v>521</v>
      </c>
      <c r="O369" s="304" t="s">
        <v>89</v>
      </c>
    </row>
    <row r="370" spans="3:15" x14ac:dyDescent="0.25">
      <c r="C370" s="823">
        <v>23</v>
      </c>
      <c r="D370" s="552">
        <f t="shared" si="17"/>
        <v>0</v>
      </c>
      <c r="E370" s="155" t="s">
        <v>89</v>
      </c>
      <c r="F370" s="561" t="s">
        <v>521</v>
      </c>
      <c r="G370" s="561" t="s">
        <v>521</v>
      </c>
      <c r="H370" s="561" t="s">
        <v>521</v>
      </c>
      <c r="I370" s="561" t="s">
        <v>521</v>
      </c>
      <c r="J370" s="561" t="s">
        <v>521</v>
      </c>
      <c r="K370" s="561" t="s">
        <v>521</v>
      </c>
      <c r="L370" s="561" t="s">
        <v>521</v>
      </c>
      <c r="O370" s="304" t="s">
        <v>89</v>
      </c>
    </row>
    <row r="371" spans="3:15" x14ac:dyDescent="0.25">
      <c r="C371" s="823">
        <v>24</v>
      </c>
      <c r="D371" s="552">
        <f t="shared" si="17"/>
        <v>0</v>
      </c>
      <c r="E371" s="155" t="s">
        <v>89</v>
      </c>
      <c r="F371" s="561" t="s">
        <v>521</v>
      </c>
      <c r="G371" s="561" t="s">
        <v>521</v>
      </c>
      <c r="H371" s="561" t="s">
        <v>521</v>
      </c>
      <c r="I371" s="561" t="s">
        <v>521</v>
      </c>
      <c r="J371" s="561" t="s">
        <v>521</v>
      </c>
      <c r="K371" s="561" t="s">
        <v>521</v>
      </c>
      <c r="L371" s="561" t="s">
        <v>521</v>
      </c>
      <c r="O371" s="304" t="s">
        <v>89</v>
      </c>
    </row>
    <row r="372" spans="3:15" x14ac:dyDescent="0.25">
      <c r="C372" s="823">
        <v>25</v>
      </c>
      <c r="D372" s="552">
        <f t="shared" si="17"/>
        <v>0</v>
      </c>
      <c r="E372" s="155" t="s">
        <v>89</v>
      </c>
      <c r="F372" s="561" t="s">
        <v>521</v>
      </c>
      <c r="G372" s="561" t="s">
        <v>521</v>
      </c>
      <c r="H372" s="561" t="s">
        <v>521</v>
      </c>
      <c r="I372" s="561" t="s">
        <v>521</v>
      </c>
      <c r="J372" s="561" t="s">
        <v>521</v>
      </c>
      <c r="K372" s="561" t="s">
        <v>521</v>
      </c>
      <c r="L372" s="561" t="s">
        <v>521</v>
      </c>
      <c r="O372" s="304" t="s">
        <v>89</v>
      </c>
    </row>
    <row r="373" spans="3:15" x14ac:dyDescent="0.25">
      <c r="C373" s="823">
        <v>26</v>
      </c>
      <c r="D373" s="552">
        <f t="shared" si="17"/>
        <v>0</v>
      </c>
      <c r="E373" s="155" t="s">
        <v>89</v>
      </c>
      <c r="F373" s="561" t="s">
        <v>521</v>
      </c>
      <c r="G373" s="561" t="s">
        <v>521</v>
      </c>
      <c r="H373" s="561" t="s">
        <v>521</v>
      </c>
      <c r="I373" s="561" t="s">
        <v>521</v>
      </c>
      <c r="J373" s="561" t="s">
        <v>521</v>
      </c>
      <c r="K373" s="561" t="s">
        <v>521</v>
      </c>
      <c r="L373" s="561" t="s">
        <v>521</v>
      </c>
      <c r="O373" s="304" t="s">
        <v>89</v>
      </c>
    </row>
    <row r="374" spans="3:15" x14ac:dyDescent="0.25">
      <c r="C374" s="823">
        <v>27</v>
      </c>
      <c r="D374" s="552">
        <f t="shared" si="17"/>
        <v>0</v>
      </c>
      <c r="E374" s="155" t="s">
        <v>89</v>
      </c>
      <c r="F374" s="561" t="s">
        <v>521</v>
      </c>
      <c r="G374" s="561" t="s">
        <v>521</v>
      </c>
      <c r="H374" s="561" t="s">
        <v>521</v>
      </c>
      <c r="I374" s="561" t="s">
        <v>521</v>
      </c>
      <c r="J374" s="561" t="s">
        <v>521</v>
      </c>
      <c r="K374" s="561" t="s">
        <v>521</v>
      </c>
      <c r="L374" s="561" t="s">
        <v>521</v>
      </c>
      <c r="O374" s="304" t="s">
        <v>89</v>
      </c>
    </row>
    <row r="375" spans="3:15" x14ac:dyDescent="0.25">
      <c r="C375" s="823">
        <v>28</v>
      </c>
      <c r="D375" s="552">
        <f t="shared" si="17"/>
        <v>0</v>
      </c>
      <c r="E375" s="155" t="s">
        <v>89</v>
      </c>
      <c r="F375" s="561" t="s">
        <v>521</v>
      </c>
      <c r="G375" s="561" t="s">
        <v>521</v>
      </c>
      <c r="H375" s="561" t="s">
        <v>521</v>
      </c>
      <c r="I375" s="561" t="s">
        <v>521</v>
      </c>
      <c r="J375" s="561" t="s">
        <v>521</v>
      </c>
      <c r="K375" s="561" t="s">
        <v>521</v>
      </c>
      <c r="L375" s="561" t="s">
        <v>521</v>
      </c>
      <c r="O375" s="304" t="s">
        <v>89</v>
      </c>
    </row>
    <row r="376" spans="3:15" x14ac:dyDescent="0.25">
      <c r="C376" s="823">
        <v>29</v>
      </c>
      <c r="D376" s="552">
        <f t="shared" si="17"/>
        <v>0</v>
      </c>
      <c r="E376" s="155" t="s">
        <v>89</v>
      </c>
      <c r="F376" s="561" t="s">
        <v>521</v>
      </c>
      <c r="G376" s="561" t="s">
        <v>521</v>
      </c>
      <c r="H376" s="561" t="s">
        <v>521</v>
      </c>
      <c r="I376" s="561" t="s">
        <v>521</v>
      </c>
      <c r="J376" s="561" t="s">
        <v>521</v>
      </c>
      <c r="K376" s="561" t="s">
        <v>521</v>
      </c>
      <c r="L376" s="561" t="s">
        <v>521</v>
      </c>
      <c r="O376" s="304" t="s">
        <v>89</v>
      </c>
    </row>
    <row r="377" spans="3:15" x14ac:dyDescent="0.25">
      <c r="C377" s="823">
        <v>30</v>
      </c>
      <c r="D377" s="552">
        <f t="shared" si="17"/>
        <v>0</v>
      </c>
      <c r="E377" s="155" t="s">
        <v>89</v>
      </c>
      <c r="F377" s="561" t="s">
        <v>521</v>
      </c>
      <c r="G377" s="561" t="s">
        <v>521</v>
      </c>
      <c r="H377" s="561" t="s">
        <v>521</v>
      </c>
      <c r="I377" s="561" t="s">
        <v>521</v>
      </c>
      <c r="J377" s="561" t="s">
        <v>521</v>
      </c>
      <c r="K377" s="561" t="s">
        <v>521</v>
      </c>
      <c r="L377" s="561" t="s">
        <v>521</v>
      </c>
      <c r="O377" s="304" t="s">
        <v>89</v>
      </c>
    </row>
    <row r="378" spans="3:15" x14ac:dyDescent="0.25">
      <c r="C378" s="823">
        <v>31</v>
      </c>
      <c r="D378" s="552">
        <f t="shared" si="17"/>
        <v>0</v>
      </c>
      <c r="E378" s="155" t="s">
        <v>89</v>
      </c>
      <c r="F378" s="561" t="s">
        <v>521</v>
      </c>
      <c r="G378" s="561" t="s">
        <v>521</v>
      </c>
      <c r="H378" s="561" t="s">
        <v>521</v>
      </c>
      <c r="I378" s="561" t="s">
        <v>521</v>
      </c>
      <c r="J378" s="561" t="s">
        <v>521</v>
      </c>
      <c r="K378" s="561" t="s">
        <v>521</v>
      </c>
      <c r="L378" s="561" t="s">
        <v>521</v>
      </c>
      <c r="O378" s="304" t="s">
        <v>89</v>
      </c>
    </row>
    <row r="379" spans="3:15" x14ac:dyDescent="0.25">
      <c r="C379" s="823">
        <v>32</v>
      </c>
      <c r="D379" s="552">
        <f t="shared" si="17"/>
        <v>0</v>
      </c>
      <c r="E379" s="155" t="s">
        <v>89</v>
      </c>
      <c r="F379" s="561" t="s">
        <v>521</v>
      </c>
      <c r="G379" s="561" t="s">
        <v>521</v>
      </c>
      <c r="H379" s="561" t="s">
        <v>521</v>
      </c>
      <c r="I379" s="561" t="s">
        <v>521</v>
      </c>
      <c r="J379" s="561" t="s">
        <v>521</v>
      </c>
      <c r="K379" s="561" t="s">
        <v>521</v>
      </c>
      <c r="L379" s="561" t="s">
        <v>521</v>
      </c>
      <c r="O379" s="304" t="s">
        <v>89</v>
      </c>
    </row>
    <row r="380" spans="3:15" x14ac:dyDescent="0.25">
      <c r="C380" s="823">
        <v>33</v>
      </c>
      <c r="D380" s="552">
        <f t="shared" si="17"/>
        <v>0</v>
      </c>
      <c r="E380" s="155" t="s">
        <v>89</v>
      </c>
      <c r="F380" s="561" t="s">
        <v>521</v>
      </c>
      <c r="G380" s="561" t="s">
        <v>521</v>
      </c>
      <c r="H380" s="561" t="s">
        <v>521</v>
      </c>
      <c r="I380" s="561" t="s">
        <v>521</v>
      </c>
      <c r="J380" s="561" t="s">
        <v>521</v>
      </c>
      <c r="K380" s="561" t="s">
        <v>521</v>
      </c>
      <c r="L380" s="561" t="s">
        <v>521</v>
      </c>
      <c r="O380" s="304" t="s">
        <v>89</v>
      </c>
    </row>
    <row r="381" spans="3:15" x14ac:dyDescent="0.25">
      <c r="C381" s="823">
        <v>34</v>
      </c>
      <c r="D381" s="552">
        <f t="shared" si="17"/>
        <v>0</v>
      </c>
      <c r="E381" s="155" t="s">
        <v>89</v>
      </c>
      <c r="F381" s="561" t="s">
        <v>521</v>
      </c>
      <c r="G381" s="561" t="s">
        <v>521</v>
      </c>
      <c r="H381" s="561" t="s">
        <v>521</v>
      </c>
      <c r="I381" s="561" t="s">
        <v>521</v>
      </c>
      <c r="J381" s="561" t="s">
        <v>521</v>
      </c>
      <c r="K381" s="561" t="s">
        <v>521</v>
      </c>
      <c r="L381" s="561" t="s">
        <v>521</v>
      </c>
      <c r="O381" s="304" t="s">
        <v>89</v>
      </c>
    </row>
    <row r="382" spans="3:15" x14ac:dyDescent="0.25">
      <c r="C382" s="823">
        <v>35</v>
      </c>
      <c r="D382" s="552">
        <f t="shared" si="17"/>
        <v>0</v>
      </c>
      <c r="E382" s="155" t="s">
        <v>89</v>
      </c>
      <c r="F382" s="561" t="s">
        <v>521</v>
      </c>
      <c r="G382" s="561" t="s">
        <v>521</v>
      </c>
      <c r="H382" s="561" t="s">
        <v>521</v>
      </c>
      <c r="I382" s="561" t="s">
        <v>521</v>
      </c>
      <c r="J382" s="561" t="s">
        <v>521</v>
      </c>
      <c r="K382" s="561" t="s">
        <v>521</v>
      </c>
      <c r="L382" s="561" t="s">
        <v>521</v>
      </c>
      <c r="O382" s="304" t="s">
        <v>89</v>
      </c>
    </row>
    <row r="383" spans="3:15" x14ac:dyDescent="0.25">
      <c r="C383" s="823">
        <v>36</v>
      </c>
      <c r="D383" s="552">
        <f t="shared" si="17"/>
        <v>0</v>
      </c>
      <c r="E383" s="155" t="s">
        <v>89</v>
      </c>
      <c r="F383" s="561" t="s">
        <v>521</v>
      </c>
      <c r="G383" s="561" t="s">
        <v>521</v>
      </c>
      <c r="H383" s="561" t="s">
        <v>521</v>
      </c>
      <c r="I383" s="561" t="s">
        <v>521</v>
      </c>
      <c r="J383" s="561" t="s">
        <v>521</v>
      </c>
      <c r="K383" s="561" t="s">
        <v>521</v>
      </c>
      <c r="L383" s="561" t="s">
        <v>521</v>
      </c>
      <c r="O383" s="304" t="s">
        <v>89</v>
      </c>
    </row>
    <row r="384" spans="3:15" x14ac:dyDescent="0.25">
      <c r="C384" s="823">
        <v>37</v>
      </c>
      <c r="D384" s="552">
        <f t="shared" si="17"/>
        <v>0</v>
      </c>
      <c r="E384" s="155" t="s">
        <v>89</v>
      </c>
      <c r="F384" s="561" t="s">
        <v>521</v>
      </c>
      <c r="G384" s="561" t="s">
        <v>521</v>
      </c>
      <c r="H384" s="561" t="s">
        <v>521</v>
      </c>
      <c r="I384" s="561" t="s">
        <v>521</v>
      </c>
      <c r="J384" s="561" t="s">
        <v>521</v>
      </c>
      <c r="K384" s="561" t="s">
        <v>521</v>
      </c>
      <c r="L384" s="561" t="s">
        <v>521</v>
      </c>
      <c r="O384" s="304" t="s">
        <v>89</v>
      </c>
    </row>
    <row r="385" spans="3:15" x14ac:dyDescent="0.25">
      <c r="C385" s="823">
        <v>38</v>
      </c>
      <c r="D385" s="552">
        <f t="shared" si="17"/>
        <v>0</v>
      </c>
      <c r="E385" s="155" t="s">
        <v>89</v>
      </c>
      <c r="F385" s="561" t="s">
        <v>521</v>
      </c>
      <c r="G385" s="561" t="s">
        <v>521</v>
      </c>
      <c r="H385" s="561" t="s">
        <v>521</v>
      </c>
      <c r="I385" s="561" t="s">
        <v>521</v>
      </c>
      <c r="J385" s="561" t="s">
        <v>521</v>
      </c>
      <c r="K385" s="561" t="s">
        <v>521</v>
      </c>
      <c r="L385" s="561" t="s">
        <v>521</v>
      </c>
      <c r="O385" s="304" t="s">
        <v>89</v>
      </c>
    </row>
    <row r="386" spans="3:15" x14ac:dyDescent="0.25">
      <c r="C386" s="823">
        <v>39</v>
      </c>
      <c r="D386" s="552">
        <f t="shared" si="17"/>
        <v>0</v>
      </c>
      <c r="E386" s="155" t="s">
        <v>89</v>
      </c>
      <c r="F386" s="561" t="s">
        <v>521</v>
      </c>
      <c r="G386" s="561" t="s">
        <v>521</v>
      </c>
      <c r="H386" s="561" t="s">
        <v>521</v>
      </c>
      <c r="I386" s="561" t="s">
        <v>521</v>
      </c>
      <c r="J386" s="561" t="s">
        <v>521</v>
      </c>
      <c r="K386" s="561" t="s">
        <v>521</v>
      </c>
      <c r="L386" s="561" t="s">
        <v>521</v>
      </c>
      <c r="O386" s="304" t="s">
        <v>89</v>
      </c>
    </row>
    <row r="387" spans="3:15" x14ac:dyDescent="0.25">
      <c r="C387" s="823">
        <v>40</v>
      </c>
      <c r="D387" s="552">
        <f t="shared" si="17"/>
        <v>0</v>
      </c>
      <c r="E387" s="155" t="s">
        <v>89</v>
      </c>
      <c r="F387" s="561" t="s">
        <v>521</v>
      </c>
      <c r="G387" s="561" t="s">
        <v>521</v>
      </c>
      <c r="H387" s="561" t="s">
        <v>521</v>
      </c>
      <c r="I387" s="561" t="s">
        <v>521</v>
      </c>
      <c r="J387" s="561" t="s">
        <v>521</v>
      </c>
      <c r="K387" s="561" t="s">
        <v>521</v>
      </c>
      <c r="L387" s="561" t="s">
        <v>521</v>
      </c>
      <c r="O387" s="304" t="s">
        <v>89</v>
      </c>
    </row>
    <row r="388" spans="3:15" x14ac:dyDescent="0.25">
      <c r="C388" s="823">
        <v>41</v>
      </c>
      <c r="D388" s="552">
        <f t="shared" si="17"/>
        <v>0</v>
      </c>
      <c r="E388" s="155" t="s">
        <v>89</v>
      </c>
      <c r="F388" s="561" t="s">
        <v>521</v>
      </c>
      <c r="G388" s="561" t="s">
        <v>521</v>
      </c>
      <c r="H388" s="561" t="s">
        <v>521</v>
      </c>
      <c r="I388" s="561" t="s">
        <v>521</v>
      </c>
      <c r="J388" s="561" t="s">
        <v>521</v>
      </c>
      <c r="K388" s="561" t="s">
        <v>521</v>
      </c>
      <c r="L388" s="561" t="s">
        <v>521</v>
      </c>
      <c r="O388" s="304" t="s">
        <v>89</v>
      </c>
    </row>
    <row r="389" spans="3:15" x14ac:dyDescent="0.25">
      <c r="C389" s="823">
        <v>42</v>
      </c>
      <c r="D389" s="552">
        <f t="shared" si="17"/>
        <v>0</v>
      </c>
      <c r="E389" s="155" t="s">
        <v>89</v>
      </c>
      <c r="F389" s="561" t="s">
        <v>521</v>
      </c>
      <c r="G389" s="561" t="s">
        <v>521</v>
      </c>
      <c r="H389" s="561" t="s">
        <v>521</v>
      </c>
      <c r="I389" s="561" t="s">
        <v>521</v>
      </c>
      <c r="J389" s="561" t="s">
        <v>521</v>
      </c>
      <c r="K389" s="561" t="s">
        <v>521</v>
      </c>
      <c r="L389" s="561" t="s">
        <v>521</v>
      </c>
      <c r="O389" s="304" t="s">
        <v>89</v>
      </c>
    </row>
    <row r="390" spans="3:15" x14ac:dyDescent="0.25">
      <c r="C390" s="823">
        <v>43</v>
      </c>
      <c r="D390" s="552">
        <f t="shared" si="17"/>
        <v>0</v>
      </c>
      <c r="E390" s="155" t="s">
        <v>89</v>
      </c>
      <c r="F390" s="561" t="s">
        <v>521</v>
      </c>
      <c r="G390" s="561" t="s">
        <v>521</v>
      </c>
      <c r="H390" s="561" t="s">
        <v>521</v>
      </c>
      <c r="I390" s="561" t="s">
        <v>521</v>
      </c>
      <c r="J390" s="561" t="s">
        <v>521</v>
      </c>
      <c r="K390" s="561" t="s">
        <v>521</v>
      </c>
      <c r="L390" s="561" t="s">
        <v>521</v>
      </c>
      <c r="O390" s="304" t="s">
        <v>89</v>
      </c>
    </row>
    <row r="391" spans="3:15" x14ac:dyDescent="0.25">
      <c r="C391" s="823">
        <v>44</v>
      </c>
      <c r="D391" s="552">
        <f t="shared" si="17"/>
        <v>0</v>
      </c>
      <c r="E391" s="155" t="s">
        <v>89</v>
      </c>
      <c r="F391" s="561" t="s">
        <v>521</v>
      </c>
      <c r="G391" s="561" t="s">
        <v>521</v>
      </c>
      <c r="H391" s="561" t="s">
        <v>521</v>
      </c>
      <c r="I391" s="561" t="s">
        <v>521</v>
      </c>
      <c r="J391" s="561" t="s">
        <v>521</v>
      </c>
      <c r="K391" s="561" t="s">
        <v>521</v>
      </c>
      <c r="L391" s="561" t="s">
        <v>521</v>
      </c>
      <c r="O391" s="304" t="s">
        <v>89</v>
      </c>
    </row>
    <row r="392" spans="3:15" x14ac:dyDescent="0.25">
      <c r="C392" s="823">
        <v>45</v>
      </c>
      <c r="D392" s="552">
        <f t="shared" si="17"/>
        <v>0</v>
      </c>
      <c r="E392" s="155" t="s">
        <v>89</v>
      </c>
      <c r="F392" s="561" t="s">
        <v>521</v>
      </c>
      <c r="G392" s="561" t="s">
        <v>521</v>
      </c>
      <c r="H392" s="561" t="s">
        <v>521</v>
      </c>
      <c r="I392" s="561" t="s">
        <v>521</v>
      </c>
      <c r="J392" s="561" t="s">
        <v>521</v>
      </c>
      <c r="K392" s="561" t="s">
        <v>521</v>
      </c>
      <c r="L392" s="561" t="s">
        <v>521</v>
      </c>
      <c r="O392" s="304" t="s">
        <v>89</v>
      </c>
    </row>
    <row r="393" spans="3:15" x14ac:dyDescent="0.25">
      <c r="C393" s="823">
        <v>46</v>
      </c>
      <c r="D393" s="552">
        <f t="shared" si="17"/>
        <v>0</v>
      </c>
      <c r="E393" s="155" t="s">
        <v>89</v>
      </c>
      <c r="F393" s="561" t="s">
        <v>521</v>
      </c>
      <c r="G393" s="561" t="s">
        <v>521</v>
      </c>
      <c r="H393" s="561" t="s">
        <v>521</v>
      </c>
      <c r="I393" s="561" t="s">
        <v>521</v>
      </c>
      <c r="J393" s="561" t="s">
        <v>521</v>
      </c>
      <c r="K393" s="561" t="s">
        <v>521</v>
      </c>
      <c r="L393" s="561" t="s">
        <v>521</v>
      </c>
      <c r="O393" s="304" t="s">
        <v>89</v>
      </c>
    </row>
    <row r="394" spans="3:15" x14ac:dyDescent="0.25">
      <c r="C394" s="823">
        <v>47</v>
      </c>
      <c r="D394" s="552">
        <f t="shared" si="17"/>
        <v>0</v>
      </c>
      <c r="E394" s="155" t="s">
        <v>89</v>
      </c>
      <c r="F394" s="561" t="s">
        <v>521</v>
      </c>
      <c r="G394" s="561" t="s">
        <v>521</v>
      </c>
      <c r="H394" s="561" t="s">
        <v>521</v>
      </c>
      <c r="I394" s="561" t="s">
        <v>521</v>
      </c>
      <c r="J394" s="561" t="s">
        <v>521</v>
      </c>
      <c r="K394" s="561" t="s">
        <v>521</v>
      </c>
      <c r="L394" s="561" t="s">
        <v>521</v>
      </c>
      <c r="O394" s="304" t="s">
        <v>89</v>
      </c>
    </row>
    <row r="395" spans="3:15" x14ac:dyDescent="0.25">
      <c r="C395" s="823">
        <v>48</v>
      </c>
      <c r="D395" s="552">
        <f t="shared" si="17"/>
        <v>0</v>
      </c>
      <c r="E395" s="155" t="s">
        <v>89</v>
      </c>
      <c r="F395" s="561" t="s">
        <v>521</v>
      </c>
      <c r="G395" s="561" t="s">
        <v>521</v>
      </c>
      <c r="H395" s="561" t="s">
        <v>521</v>
      </c>
      <c r="I395" s="561" t="s">
        <v>521</v>
      </c>
      <c r="J395" s="561" t="s">
        <v>521</v>
      </c>
      <c r="K395" s="561" t="s">
        <v>521</v>
      </c>
      <c r="L395" s="561" t="s">
        <v>521</v>
      </c>
      <c r="O395" s="304" t="s">
        <v>89</v>
      </c>
    </row>
    <row r="396" spans="3:15" x14ac:dyDescent="0.25">
      <c r="C396" s="823">
        <v>49</v>
      </c>
      <c r="D396" s="552">
        <f t="shared" si="17"/>
        <v>0</v>
      </c>
      <c r="E396" s="155" t="s">
        <v>89</v>
      </c>
      <c r="F396" s="561" t="s">
        <v>521</v>
      </c>
      <c r="G396" s="561" t="s">
        <v>521</v>
      </c>
      <c r="H396" s="561" t="s">
        <v>521</v>
      </c>
      <c r="I396" s="561" t="s">
        <v>521</v>
      </c>
      <c r="J396" s="561" t="s">
        <v>521</v>
      </c>
      <c r="K396" s="561" t="s">
        <v>521</v>
      </c>
      <c r="L396" s="561" t="s">
        <v>521</v>
      </c>
      <c r="O396" s="304" t="s">
        <v>89</v>
      </c>
    </row>
    <row r="397" spans="3:15" x14ac:dyDescent="0.25">
      <c r="C397" s="823">
        <v>50</v>
      </c>
      <c r="D397" s="552">
        <f t="shared" si="17"/>
        <v>0</v>
      </c>
      <c r="E397" s="155" t="s">
        <v>89</v>
      </c>
      <c r="F397" s="561" t="s">
        <v>521</v>
      </c>
      <c r="G397" s="561" t="s">
        <v>521</v>
      </c>
      <c r="H397" s="561" t="s">
        <v>521</v>
      </c>
      <c r="I397" s="561" t="s">
        <v>521</v>
      </c>
      <c r="J397" s="561" t="s">
        <v>521</v>
      </c>
      <c r="K397" s="561" t="s">
        <v>521</v>
      </c>
      <c r="L397" s="561" t="s">
        <v>521</v>
      </c>
      <c r="O397" s="304" t="s">
        <v>89</v>
      </c>
    </row>
    <row r="398" spans="3:15" x14ac:dyDescent="0.25">
      <c r="C398" s="823">
        <v>51</v>
      </c>
      <c r="D398" s="552">
        <f t="shared" si="17"/>
        <v>0</v>
      </c>
      <c r="E398" s="155" t="s">
        <v>89</v>
      </c>
      <c r="F398" s="561" t="s">
        <v>521</v>
      </c>
      <c r="G398" s="561" t="s">
        <v>521</v>
      </c>
      <c r="H398" s="561" t="s">
        <v>521</v>
      </c>
      <c r="I398" s="561" t="s">
        <v>521</v>
      </c>
      <c r="J398" s="561" t="s">
        <v>521</v>
      </c>
      <c r="K398" s="561" t="s">
        <v>521</v>
      </c>
      <c r="L398" s="561" t="s">
        <v>521</v>
      </c>
      <c r="O398" s="304" t="s">
        <v>89</v>
      </c>
    </row>
    <row r="399" spans="3:15" x14ac:dyDescent="0.25">
      <c r="C399" s="823">
        <v>52</v>
      </c>
      <c r="D399" s="552">
        <f t="shared" si="17"/>
        <v>0</v>
      </c>
      <c r="E399" s="155" t="s">
        <v>89</v>
      </c>
      <c r="F399" s="561" t="s">
        <v>521</v>
      </c>
      <c r="G399" s="561" t="s">
        <v>521</v>
      </c>
      <c r="H399" s="561" t="s">
        <v>521</v>
      </c>
      <c r="I399" s="561" t="s">
        <v>521</v>
      </c>
      <c r="J399" s="561" t="s">
        <v>521</v>
      </c>
      <c r="K399" s="561" t="s">
        <v>521</v>
      </c>
      <c r="L399" s="561" t="s">
        <v>521</v>
      </c>
      <c r="O399" s="304" t="s">
        <v>89</v>
      </c>
    </row>
    <row r="400" spans="3:15" x14ac:dyDescent="0.25">
      <c r="C400" s="823">
        <v>53</v>
      </c>
      <c r="D400" s="552">
        <f t="shared" si="17"/>
        <v>0</v>
      </c>
      <c r="E400" s="155" t="s">
        <v>89</v>
      </c>
      <c r="F400" s="561" t="s">
        <v>521</v>
      </c>
      <c r="G400" s="561" t="s">
        <v>521</v>
      </c>
      <c r="H400" s="561" t="s">
        <v>521</v>
      </c>
      <c r="I400" s="561" t="s">
        <v>521</v>
      </c>
      <c r="J400" s="561" t="s">
        <v>521</v>
      </c>
      <c r="K400" s="561" t="s">
        <v>521</v>
      </c>
      <c r="L400" s="561" t="s">
        <v>521</v>
      </c>
      <c r="O400" s="304" t="s">
        <v>89</v>
      </c>
    </row>
    <row r="401" spans="3:15" x14ac:dyDescent="0.25">
      <c r="C401" s="823">
        <v>54</v>
      </c>
      <c r="D401" s="552">
        <f t="shared" si="17"/>
        <v>0</v>
      </c>
      <c r="E401" s="155" t="s">
        <v>89</v>
      </c>
      <c r="F401" s="561" t="s">
        <v>521</v>
      </c>
      <c r="G401" s="561" t="s">
        <v>521</v>
      </c>
      <c r="H401" s="561" t="s">
        <v>521</v>
      </c>
      <c r="I401" s="561" t="s">
        <v>521</v>
      </c>
      <c r="J401" s="561" t="s">
        <v>521</v>
      </c>
      <c r="K401" s="561" t="s">
        <v>521</v>
      </c>
      <c r="L401" s="561" t="s">
        <v>521</v>
      </c>
      <c r="O401" s="304" t="s">
        <v>89</v>
      </c>
    </row>
    <row r="402" spans="3:15" x14ac:dyDescent="0.25">
      <c r="C402" s="823">
        <v>55</v>
      </c>
      <c r="D402" s="552">
        <f t="shared" si="17"/>
        <v>0</v>
      </c>
      <c r="E402" s="155" t="s">
        <v>89</v>
      </c>
      <c r="F402" s="561" t="s">
        <v>521</v>
      </c>
      <c r="G402" s="561" t="s">
        <v>521</v>
      </c>
      <c r="H402" s="561" t="s">
        <v>521</v>
      </c>
      <c r="I402" s="561" t="s">
        <v>521</v>
      </c>
      <c r="J402" s="561" t="s">
        <v>521</v>
      </c>
      <c r="K402" s="561" t="s">
        <v>521</v>
      </c>
      <c r="L402" s="561" t="s">
        <v>521</v>
      </c>
      <c r="O402" s="304" t="s">
        <v>89</v>
      </c>
    </row>
    <row r="403" spans="3:15" x14ac:dyDescent="0.25">
      <c r="C403" s="823">
        <v>56</v>
      </c>
      <c r="D403" s="552">
        <f t="shared" si="17"/>
        <v>0</v>
      </c>
      <c r="E403" s="155" t="s">
        <v>89</v>
      </c>
      <c r="F403" s="561" t="s">
        <v>521</v>
      </c>
      <c r="G403" s="561" t="s">
        <v>521</v>
      </c>
      <c r="H403" s="561" t="s">
        <v>521</v>
      </c>
      <c r="I403" s="561" t="s">
        <v>521</v>
      </c>
      <c r="J403" s="561" t="s">
        <v>521</v>
      </c>
      <c r="K403" s="561" t="s">
        <v>521</v>
      </c>
      <c r="L403" s="561" t="s">
        <v>521</v>
      </c>
      <c r="O403" s="304" t="s">
        <v>89</v>
      </c>
    </row>
    <row r="404" spans="3:15" x14ac:dyDescent="0.25">
      <c r="C404" s="823">
        <v>57</v>
      </c>
      <c r="D404" s="552">
        <f t="shared" si="17"/>
        <v>0</v>
      </c>
      <c r="E404" s="155" t="s">
        <v>89</v>
      </c>
      <c r="F404" s="561" t="s">
        <v>521</v>
      </c>
      <c r="G404" s="561" t="s">
        <v>521</v>
      </c>
      <c r="H404" s="561" t="s">
        <v>521</v>
      </c>
      <c r="I404" s="561" t="s">
        <v>521</v>
      </c>
      <c r="J404" s="561" t="s">
        <v>521</v>
      </c>
      <c r="K404" s="561" t="s">
        <v>521</v>
      </c>
      <c r="L404" s="561" t="s">
        <v>521</v>
      </c>
      <c r="O404" s="304" t="s">
        <v>89</v>
      </c>
    </row>
    <row r="405" spans="3:15" x14ac:dyDescent="0.25">
      <c r="C405" s="823">
        <v>58</v>
      </c>
      <c r="D405" s="552">
        <f t="shared" si="17"/>
        <v>0</v>
      </c>
      <c r="E405" s="155" t="s">
        <v>89</v>
      </c>
      <c r="F405" s="561" t="s">
        <v>521</v>
      </c>
      <c r="G405" s="561" t="s">
        <v>521</v>
      </c>
      <c r="H405" s="561" t="s">
        <v>521</v>
      </c>
      <c r="I405" s="561" t="s">
        <v>521</v>
      </c>
      <c r="J405" s="561" t="s">
        <v>521</v>
      </c>
      <c r="K405" s="561" t="s">
        <v>521</v>
      </c>
      <c r="L405" s="561" t="s">
        <v>521</v>
      </c>
      <c r="O405" s="304" t="s">
        <v>89</v>
      </c>
    </row>
    <row r="406" spans="3:15" x14ac:dyDescent="0.25">
      <c r="C406" s="823">
        <v>59</v>
      </c>
      <c r="D406" s="552">
        <f t="shared" si="17"/>
        <v>0</v>
      </c>
      <c r="E406" s="155" t="s">
        <v>89</v>
      </c>
      <c r="F406" s="561" t="s">
        <v>521</v>
      </c>
      <c r="G406" s="561" t="s">
        <v>521</v>
      </c>
      <c r="H406" s="561" t="s">
        <v>521</v>
      </c>
      <c r="I406" s="561" t="s">
        <v>521</v>
      </c>
      <c r="J406" s="561" t="s">
        <v>521</v>
      </c>
      <c r="K406" s="561" t="s">
        <v>521</v>
      </c>
      <c r="L406" s="561" t="s">
        <v>521</v>
      </c>
      <c r="O406" s="304" t="s">
        <v>89</v>
      </c>
    </row>
    <row r="407" spans="3:15" x14ac:dyDescent="0.25">
      <c r="C407" s="823">
        <v>60</v>
      </c>
      <c r="D407" s="552">
        <f t="shared" si="17"/>
        <v>0</v>
      </c>
      <c r="E407" s="155" t="s">
        <v>89</v>
      </c>
      <c r="F407" s="561" t="s">
        <v>521</v>
      </c>
      <c r="G407" s="561" t="s">
        <v>521</v>
      </c>
      <c r="H407" s="561" t="s">
        <v>521</v>
      </c>
      <c r="I407" s="561" t="s">
        <v>521</v>
      </c>
      <c r="J407" s="561" t="s">
        <v>521</v>
      </c>
      <c r="K407" s="561" t="s">
        <v>521</v>
      </c>
      <c r="L407" s="561" t="s">
        <v>521</v>
      </c>
      <c r="O407" s="304" t="s">
        <v>89</v>
      </c>
    </row>
    <row r="408" spans="3:15" x14ac:dyDescent="0.25">
      <c r="C408" s="823">
        <v>61</v>
      </c>
      <c r="D408" s="552">
        <f t="shared" si="17"/>
        <v>0</v>
      </c>
      <c r="E408" s="155" t="s">
        <v>89</v>
      </c>
      <c r="F408" s="561" t="s">
        <v>521</v>
      </c>
      <c r="G408" s="561" t="s">
        <v>521</v>
      </c>
      <c r="H408" s="561" t="s">
        <v>521</v>
      </c>
      <c r="I408" s="561" t="s">
        <v>521</v>
      </c>
      <c r="J408" s="561" t="s">
        <v>521</v>
      </c>
      <c r="K408" s="561" t="s">
        <v>521</v>
      </c>
      <c r="L408" s="561" t="s">
        <v>521</v>
      </c>
      <c r="O408" s="304" t="s">
        <v>89</v>
      </c>
    </row>
    <row r="409" spans="3:15" x14ac:dyDescent="0.25">
      <c r="C409" s="823">
        <v>62</v>
      </c>
      <c r="D409" s="552">
        <f t="shared" si="17"/>
        <v>0</v>
      </c>
      <c r="E409" s="155" t="s">
        <v>89</v>
      </c>
      <c r="F409" s="561" t="s">
        <v>521</v>
      </c>
      <c r="G409" s="561" t="s">
        <v>521</v>
      </c>
      <c r="H409" s="561" t="s">
        <v>521</v>
      </c>
      <c r="I409" s="561" t="s">
        <v>521</v>
      </c>
      <c r="J409" s="561" t="s">
        <v>521</v>
      </c>
      <c r="K409" s="561" t="s">
        <v>521</v>
      </c>
      <c r="L409" s="561" t="s">
        <v>521</v>
      </c>
      <c r="O409" s="304" t="s">
        <v>89</v>
      </c>
    </row>
    <row r="410" spans="3:15" x14ac:dyDescent="0.25">
      <c r="C410" s="823">
        <v>63</v>
      </c>
      <c r="D410" s="552">
        <f t="shared" si="17"/>
        <v>0</v>
      </c>
      <c r="E410" s="155" t="s">
        <v>89</v>
      </c>
      <c r="F410" s="561" t="s">
        <v>521</v>
      </c>
      <c r="G410" s="561" t="s">
        <v>521</v>
      </c>
      <c r="H410" s="561" t="s">
        <v>521</v>
      </c>
      <c r="I410" s="561" t="s">
        <v>521</v>
      </c>
      <c r="J410" s="561" t="s">
        <v>521</v>
      </c>
      <c r="K410" s="561" t="s">
        <v>521</v>
      </c>
      <c r="L410" s="561" t="s">
        <v>521</v>
      </c>
      <c r="O410" s="304" t="s">
        <v>89</v>
      </c>
    </row>
    <row r="411" spans="3:15" x14ac:dyDescent="0.25">
      <c r="C411" s="823">
        <v>64</v>
      </c>
      <c r="D411" s="552">
        <f t="shared" si="17"/>
        <v>0</v>
      </c>
      <c r="E411" s="155" t="s">
        <v>89</v>
      </c>
      <c r="F411" s="561" t="s">
        <v>521</v>
      </c>
      <c r="G411" s="561" t="s">
        <v>521</v>
      </c>
      <c r="H411" s="561" t="s">
        <v>521</v>
      </c>
      <c r="I411" s="561" t="s">
        <v>521</v>
      </c>
      <c r="J411" s="561" t="s">
        <v>521</v>
      </c>
      <c r="K411" s="561" t="s">
        <v>521</v>
      </c>
      <c r="L411" s="561" t="s">
        <v>521</v>
      </c>
      <c r="O411" s="304" t="s">
        <v>89</v>
      </c>
    </row>
    <row r="412" spans="3:15" x14ac:dyDescent="0.25">
      <c r="C412" s="823">
        <v>65</v>
      </c>
      <c r="D412" s="552">
        <f t="shared" si="17"/>
        <v>0</v>
      </c>
      <c r="E412" s="155" t="s">
        <v>89</v>
      </c>
      <c r="F412" s="561" t="s">
        <v>521</v>
      </c>
      <c r="G412" s="561" t="s">
        <v>521</v>
      </c>
      <c r="H412" s="561" t="s">
        <v>521</v>
      </c>
      <c r="I412" s="561" t="s">
        <v>521</v>
      </c>
      <c r="J412" s="561" t="s">
        <v>521</v>
      </c>
      <c r="K412" s="561" t="s">
        <v>521</v>
      </c>
      <c r="L412" s="561" t="s">
        <v>521</v>
      </c>
      <c r="O412" s="304" t="s">
        <v>89</v>
      </c>
    </row>
    <row r="413" spans="3:15" x14ac:dyDescent="0.25">
      <c r="C413" s="823">
        <v>66</v>
      </c>
      <c r="D413" s="552">
        <f t="shared" ref="D413:D437" si="18">SUM(F413:K413)</f>
        <v>0</v>
      </c>
      <c r="E413" s="155" t="s">
        <v>89</v>
      </c>
      <c r="F413" s="561" t="s">
        <v>521</v>
      </c>
      <c r="G413" s="561" t="s">
        <v>521</v>
      </c>
      <c r="H413" s="561" t="s">
        <v>521</v>
      </c>
      <c r="I413" s="561" t="s">
        <v>521</v>
      </c>
      <c r="J413" s="561" t="s">
        <v>521</v>
      </c>
      <c r="K413" s="561" t="s">
        <v>521</v>
      </c>
      <c r="L413" s="561" t="s">
        <v>521</v>
      </c>
      <c r="O413" s="304" t="s">
        <v>89</v>
      </c>
    </row>
    <row r="414" spans="3:15" x14ac:dyDescent="0.25">
      <c r="C414" s="823">
        <v>67</v>
      </c>
      <c r="D414" s="552">
        <f t="shared" si="18"/>
        <v>0</v>
      </c>
      <c r="E414" s="155" t="s">
        <v>89</v>
      </c>
      <c r="F414" s="561" t="s">
        <v>521</v>
      </c>
      <c r="G414" s="561" t="s">
        <v>521</v>
      </c>
      <c r="H414" s="561" t="s">
        <v>521</v>
      </c>
      <c r="I414" s="561" t="s">
        <v>521</v>
      </c>
      <c r="J414" s="561" t="s">
        <v>521</v>
      </c>
      <c r="K414" s="561" t="s">
        <v>521</v>
      </c>
      <c r="L414" s="561" t="s">
        <v>521</v>
      </c>
      <c r="O414" s="304" t="s">
        <v>89</v>
      </c>
    </row>
    <row r="415" spans="3:15" x14ac:dyDescent="0.25">
      <c r="C415" s="823">
        <v>68</v>
      </c>
      <c r="D415" s="552">
        <f t="shared" si="18"/>
        <v>0</v>
      </c>
      <c r="E415" s="155" t="s">
        <v>89</v>
      </c>
      <c r="F415" s="561" t="s">
        <v>521</v>
      </c>
      <c r="G415" s="561" t="s">
        <v>521</v>
      </c>
      <c r="H415" s="561" t="s">
        <v>521</v>
      </c>
      <c r="I415" s="561" t="s">
        <v>521</v>
      </c>
      <c r="J415" s="561" t="s">
        <v>521</v>
      </c>
      <c r="K415" s="561" t="s">
        <v>521</v>
      </c>
      <c r="L415" s="561" t="s">
        <v>521</v>
      </c>
      <c r="O415" s="304" t="s">
        <v>89</v>
      </c>
    </row>
    <row r="416" spans="3:15" x14ac:dyDescent="0.25">
      <c r="C416" s="823">
        <v>69</v>
      </c>
      <c r="D416" s="552">
        <f t="shared" si="18"/>
        <v>0</v>
      </c>
      <c r="E416" s="155" t="s">
        <v>89</v>
      </c>
      <c r="F416" s="561" t="s">
        <v>521</v>
      </c>
      <c r="G416" s="561" t="s">
        <v>521</v>
      </c>
      <c r="H416" s="561" t="s">
        <v>521</v>
      </c>
      <c r="I416" s="561" t="s">
        <v>521</v>
      </c>
      <c r="J416" s="561" t="s">
        <v>521</v>
      </c>
      <c r="K416" s="561" t="s">
        <v>521</v>
      </c>
      <c r="L416" s="561" t="s">
        <v>521</v>
      </c>
      <c r="O416" s="304" t="s">
        <v>89</v>
      </c>
    </row>
    <row r="417" spans="3:15" x14ac:dyDescent="0.25">
      <c r="C417" s="823">
        <v>70</v>
      </c>
      <c r="D417" s="552">
        <f t="shared" si="18"/>
        <v>0</v>
      </c>
      <c r="E417" s="155" t="s">
        <v>89</v>
      </c>
      <c r="F417" s="561" t="s">
        <v>521</v>
      </c>
      <c r="G417" s="561" t="s">
        <v>521</v>
      </c>
      <c r="H417" s="561" t="s">
        <v>521</v>
      </c>
      <c r="I417" s="561" t="s">
        <v>521</v>
      </c>
      <c r="J417" s="561" t="s">
        <v>521</v>
      </c>
      <c r="K417" s="561" t="s">
        <v>521</v>
      </c>
      <c r="L417" s="561" t="s">
        <v>521</v>
      </c>
      <c r="O417" s="304" t="s">
        <v>89</v>
      </c>
    </row>
    <row r="418" spans="3:15" x14ac:dyDescent="0.25">
      <c r="C418" s="823">
        <v>71</v>
      </c>
      <c r="D418" s="552">
        <f t="shared" si="18"/>
        <v>0</v>
      </c>
      <c r="E418" s="155" t="s">
        <v>89</v>
      </c>
      <c r="F418" s="561" t="s">
        <v>521</v>
      </c>
      <c r="G418" s="561" t="s">
        <v>521</v>
      </c>
      <c r="H418" s="561" t="s">
        <v>521</v>
      </c>
      <c r="I418" s="561" t="s">
        <v>521</v>
      </c>
      <c r="J418" s="561" t="s">
        <v>521</v>
      </c>
      <c r="K418" s="561" t="s">
        <v>521</v>
      </c>
      <c r="L418" s="561" t="s">
        <v>521</v>
      </c>
      <c r="O418" s="304" t="s">
        <v>89</v>
      </c>
    </row>
    <row r="419" spans="3:15" x14ac:dyDescent="0.25">
      <c r="C419" s="823">
        <v>72</v>
      </c>
      <c r="D419" s="552">
        <f t="shared" si="18"/>
        <v>0</v>
      </c>
      <c r="E419" s="155" t="s">
        <v>89</v>
      </c>
      <c r="F419" s="561" t="s">
        <v>521</v>
      </c>
      <c r="G419" s="561" t="s">
        <v>521</v>
      </c>
      <c r="H419" s="561" t="s">
        <v>521</v>
      </c>
      <c r="I419" s="561" t="s">
        <v>521</v>
      </c>
      <c r="J419" s="561" t="s">
        <v>521</v>
      </c>
      <c r="K419" s="561" t="s">
        <v>521</v>
      </c>
      <c r="L419" s="561" t="s">
        <v>521</v>
      </c>
      <c r="O419" s="304" t="s">
        <v>89</v>
      </c>
    </row>
    <row r="420" spans="3:15" x14ac:dyDescent="0.25">
      <c r="C420" s="823">
        <v>73</v>
      </c>
      <c r="D420" s="552">
        <f t="shared" si="18"/>
        <v>0</v>
      </c>
      <c r="E420" s="155" t="s">
        <v>89</v>
      </c>
      <c r="F420" s="561" t="s">
        <v>521</v>
      </c>
      <c r="G420" s="561" t="s">
        <v>521</v>
      </c>
      <c r="H420" s="561" t="s">
        <v>521</v>
      </c>
      <c r="I420" s="561" t="s">
        <v>521</v>
      </c>
      <c r="J420" s="561" t="s">
        <v>521</v>
      </c>
      <c r="K420" s="561" t="s">
        <v>521</v>
      </c>
      <c r="L420" s="561" t="s">
        <v>521</v>
      </c>
      <c r="O420" s="304" t="s">
        <v>89</v>
      </c>
    </row>
    <row r="421" spans="3:15" x14ac:dyDescent="0.25">
      <c r="C421" s="823">
        <v>74</v>
      </c>
      <c r="D421" s="552">
        <f t="shared" si="18"/>
        <v>0</v>
      </c>
      <c r="E421" s="155" t="s">
        <v>89</v>
      </c>
      <c r="F421" s="561" t="s">
        <v>521</v>
      </c>
      <c r="G421" s="561" t="s">
        <v>521</v>
      </c>
      <c r="H421" s="561" t="s">
        <v>521</v>
      </c>
      <c r="I421" s="561" t="s">
        <v>521</v>
      </c>
      <c r="J421" s="561" t="s">
        <v>521</v>
      </c>
      <c r="K421" s="561" t="s">
        <v>521</v>
      </c>
      <c r="L421" s="561" t="s">
        <v>521</v>
      </c>
      <c r="O421" s="304" t="s">
        <v>89</v>
      </c>
    </row>
    <row r="422" spans="3:15" x14ac:dyDescent="0.25">
      <c r="C422" s="823">
        <v>75</v>
      </c>
      <c r="D422" s="552">
        <f t="shared" si="18"/>
        <v>0</v>
      </c>
      <c r="E422" s="155" t="s">
        <v>89</v>
      </c>
      <c r="F422" s="561" t="s">
        <v>521</v>
      </c>
      <c r="G422" s="561" t="s">
        <v>521</v>
      </c>
      <c r="H422" s="561" t="s">
        <v>521</v>
      </c>
      <c r="I422" s="561" t="s">
        <v>521</v>
      </c>
      <c r="J422" s="561" t="s">
        <v>521</v>
      </c>
      <c r="K422" s="561" t="s">
        <v>521</v>
      </c>
      <c r="L422" s="561" t="s">
        <v>521</v>
      </c>
      <c r="O422" s="304" t="s">
        <v>89</v>
      </c>
    </row>
    <row r="423" spans="3:15" x14ac:dyDescent="0.25">
      <c r="C423" s="823">
        <v>76</v>
      </c>
      <c r="D423" s="552">
        <f t="shared" si="18"/>
        <v>0</v>
      </c>
      <c r="E423" s="155" t="s">
        <v>89</v>
      </c>
      <c r="F423" s="561" t="s">
        <v>521</v>
      </c>
      <c r="G423" s="561" t="s">
        <v>521</v>
      </c>
      <c r="H423" s="561" t="s">
        <v>521</v>
      </c>
      <c r="I423" s="561" t="s">
        <v>521</v>
      </c>
      <c r="J423" s="561" t="s">
        <v>521</v>
      </c>
      <c r="K423" s="561" t="s">
        <v>521</v>
      </c>
      <c r="L423" s="561" t="s">
        <v>521</v>
      </c>
      <c r="O423" s="304" t="s">
        <v>89</v>
      </c>
    </row>
    <row r="424" spans="3:15" x14ac:dyDescent="0.25">
      <c r="C424" s="823">
        <v>77</v>
      </c>
      <c r="D424" s="552">
        <f t="shared" si="18"/>
        <v>0</v>
      </c>
      <c r="E424" s="155" t="s">
        <v>89</v>
      </c>
      <c r="F424" s="561" t="s">
        <v>521</v>
      </c>
      <c r="G424" s="561" t="s">
        <v>521</v>
      </c>
      <c r="H424" s="561" t="s">
        <v>521</v>
      </c>
      <c r="I424" s="561" t="s">
        <v>521</v>
      </c>
      <c r="J424" s="561" t="s">
        <v>521</v>
      </c>
      <c r="K424" s="561" t="s">
        <v>521</v>
      </c>
      <c r="L424" s="561" t="s">
        <v>521</v>
      </c>
      <c r="O424" s="304" t="s">
        <v>89</v>
      </c>
    </row>
    <row r="425" spans="3:15" x14ac:dyDescent="0.25">
      <c r="C425" s="823">
        <v>78</v>
      </c>
      <c r="D425" s="552">
        <f t="shared" si="18"/>
        <v>0</v>
      </c>
      <c r="E425" s="155" t="s">
        <v>89</v>
      </c>
      <c r="F425" s="561" t="s">
        <v>521</v>
      </c>
      <c r="G425" s="561" t="s">
        <v>521</v>
      </c>
      <c r="H425" s="561" t="s">
        <v>521</v>
      </c>
      <c r="I425" s="561" t="s">
        <v>521</v>
      </c>
      <c r="J425" s="561" t="s">
        <v>521</v>
      </c>
      <c r="K425" s="561" t="s">
        <v>521</v>
      </c>
      <c r="L425" s="561" t="s">
        <v>521</v>
      </c>
      <c r="O425" s="304" t="s">
        <v>89</v>
      </c>
    </row>
    <row r="426" spans="3:15" x14ac:dyDescent="0.25">
      <c r="C426" s="823">
        <v>79</v>
      </c>
      <c r="D426" s="552">
        <f t="shared" si="18"/>
        <v>0</v>
      </c>
      <c r="E426" s="155" t="s">
        <v>89</v>
      </c>
      <c r="F426" s="561" t="s">
        <v>521</v>
      </c>
      <c r="G426" s="561" t="s">
        <v>521</v>
      </c>
      <c r="H426" s="561" t="s">
        <v>521</v>
      </c>
      <c r="I426" s="561" t="s">
        <v>521</v>
      </c>
      <c r="J426" s="561" t="s">
        <v>521</v>
      </c>
      <c r="K426" s="561" t="s">
        <v>521</v>
      </c>
      <c r="L426" s="561" t="s">
        <v>521</v>
      </c>
      <c r="O426" s="304" t="s">
        <v>89</v>
      </c>
    </row>
    <row r="427" spans="3:15" x14ac:dyDescent="0.25">
      <c r="C427" s="823">
        <v>80</v>
      </c>
      <c r="D427" s="552">
        <f t="shared" si="18"/>
        <v>0</v>
      </c>
      <c r="E427" s="155" t="s">
        <v>89</v>
      </c>
      <c r="F427" s="561" t="s">
        <v>521</v>
      </c>
      <c r="G427" s="561" t="s">
        <v>521</v>
      </c>
      <c r="H427" s="561" t="s">
        <v>521</v>
      </c>
      <c r="I427" s="561" t="s">
        <v>521</v>
      </c>
      <c r="J427" s="561" t="s">
        <v>521</v>
      </c>
      <c r="K427" s="561" t="s">
        <v>521</v>
      </c>
      <c r="L427" s="561" t="s">
        <v>521</v>
      </c>
      <c r="O427" s="304" t="s">
        <v>89</v>
      </c>
    </row>
    <row r="428" spans="3:15" x14ac:dyDescent="0.25">
      <c r="C428" s="823">
        <v>81</v>
      </c>
      <c r="D428" s="552">
        <f t="shared" si="18"/>
        <v>0</v>
      </c>
      <c r="E428" s="155" t="s">
        <v>89</v>
      </c>
      <c r="F428" s="561" t="s">
        <v>521</v>
      </c>
      <c r="G428" s="561" t="s">
        <v>521</v>
      </c>
      <c r="H428" s="561" t="s">
        <v>521</v>
      </c>
      <c r="I428" s="561" t="s">
        <v>521</v>
      </c>
      <c r="J428" s="561" t="s">
        <v>521</v>
      </c>
      <c r="K428" s="561" t="s">
        <v>521</v>
      </c>
      <c r="L428" s="561" t="s">
        <v>521</v>
      </c>
      <c r="O428" s="304" t="s">
        <v>89</v>
      </c>
    </row>
    <row r="429" spans="3:15" x14ac:dyDescent="0.25">
      <c r="C429" s="823">
        <v>82</v>
      </c>
      <c r="D429" s="552">
        <f t="shared" si="18"/>
        <v>0</v>
      </c>
      <c r="E429" s="155" t="s">
        <v>89</v>
      </c>
      <c r="F429" s="561" t="s">
        <v>521</v>
      </c>
      <c r="G429" s="561" t="s">
        <v>521</v>
      </c>
      <c r="H429" s="561" t="s">
        <v>521</v>
      </c>
      <c r="I429" s="561" t="s">
        <v>521</v>
      </c>
      <c r="J429" s="561" t="s">
        <v>521</v>
      </c>
      <c r="K429" s="561" t="s">
        <v>521</v>
      </c>
      <c r="L429" s="561" t="s">
        <v>521</v>
      </c>
      <c r="O429" s="304" t="s">
        <v>89</v>
      </c>
    </row>
    <row r="430" spans="3:15" x14ac:dyDescent="0.25">
      <c r="C430" s="823">
        <v>83</v>
      </c>
      <c r="D430" s="552">
        <f t="shared" si="18"/>
        <v>0</v>
      </c>
      <c r="E430" s="155" t="s">
        <v>89</v>
      </c>
      <c r="F430" s="561" t="s">
        <v>521</v>
      </c>
      <c r="G430" s="561" t="s">
        <v>521</v>
      </c>
      <c r="H430" s="561" t="s">
        <v>521</v>
      </c>
      <c r="I430" s="561" t="s">
        <v>521</v>
      </c>
      <c r="J430" s="561" t="s">
        <v>521</v>
      </c>
      <c r="K430" s="561" t="s">
        <v>521</v>
      </c>
      <c r="L430" s="561" t="s">
        <v>521</v>
      </c>
      <c r="O430" s="304" t="s">
        <v>89</v>
      </c>
    </row>
    <row r="431" spans="3:15" x14ac:dyDescent="0.25">
      <c r="C431" s="823">
        <v>84</v>
      </c>
      <c r="D431" s="552">
        <f t="shared" si="18"/>
        <v>0</v>
      </c>
      <c r="E431" s="155" t="s">
        <v>89</v>
      </c>
      <c r="F431" s="561" t="s">
        <v>521</v>
      </c>
      <c r="G431" s="561" t="s">
        <v>521</v>
      </c>
      <c r="H431" s="561" t="s">
        <v>521</v>
      </c>
      <c r="I431" s="561" t="s">
        <v>521</v>
      </c>
      <c r="J431" s="561" t="s">
        <v>521</v>
      </c>
      <c r="K431" s="561" t="s">
        <v>521</v>
      </c>
      <c r="L431" s="561" t="s">
        <v>521</v>
      </c>
      <c r="O431" s="304" t="s">
        <v>89</v>
      </c>
    </row>
    <row r="432" spans="3:15" x14ac:dyDescent="0.25">
      <c r="C432" s="823">
        <v>85</v>
      </c>
      <c r="D432" s="552">
        <f t="shared" si="18"/>
        <v>0</v>
      </c>
      <c r="E432" s="155" t="s">
        <v>89</v>
      </c>
      <c r="F432" s="561" t="s">
        <v>521</v>
      </c>
      <c r="G432" s="561" t="s">
        <v>521</v>
      </c>
      <c r="H432" s="561" t="s">
        <v>521</v>
      </c>
      <c r="I432" s="561" t="s">
        <v>521</v>
      </c>
      <c r="J432" s="561" t="s">
        <v>521</v>
      </c>
      <c r="K432" s="561" t="s">
        <v>521</v>
      </c>
      <c r="L432" s="561" t="s">
        <v>521</v>
      </c>
      <c r="O432" s="304" t="s">
        <v>89</v>
      </c>
    </row>
    <row r="433" spans="3:15" x14ac:dyDescent="0.25">
      <c r="C433" s="823">
        <v>86</v>
      </c>
      <c r="D433" s="552">
        <f t="shared" si="18"/>
        <v>0</v>
      </c>
      <c r="E433" s="155" t="s">
        <v>89</v>
      </c>
      <c r="F433" s="561" t="s">
        <v>521</v>
      </c>
      <c r="G433" s="561" t="s">
        <v>521</v>
      </c>
      <c r="H433" s="561" t="s">
        <v>521</v>
      </c>
      <c r="I433" s="561" t="s">
        <v>521</v>
      </c>
      <c r="J433" s="561" t="s">
        <v>521</v>
      </c>
      <c r="K433" s="561" t="s">
        <v>521</v>
      </c>
      <c r="L433" s="561" t="s">
        <v>521</v>
      </c>
      <c r="O433" s="304" t="s">
        <v>89</v>
      </c>
    </row>
    <row r="434" spans="3:15" x14ac:dyDescent="0.25">
      <c r="C434" s="823">
        <v>87</v>
      </c>
      <c r="D434" s="552">
        <f t="shared" si="18"/>
        <v>0</v>
      </c>
      <c r="E434" s="155" t="s">
        <v>89</v>
      </c>
      <c r="F434" s="561" t="s">
        <v>521</v>
      </c>
      <c r="G434" s="561" t="s">
        <v>521</v>
      </c>
      <c r="H434" s="561" t="s">
        <v>521</v>
      </c>
      <c r="I434" s="561" t="s">
        <v>521</v>
      </c>
      <c r="J434" s="561" t="s">
        <v>521</v>
      </c>
      <c r="K434" s="561" t="s">
        <v>521</v>
      </c>
      <c r="L434" s="561" t="s">
        <v>521</v>
      </c>
      <c r="O434" s="304" t="s">
        <v>89</v>
      </c>
    </row>
    <row r="435" spans="3:15" x14ac:dyDescent="0.25">
      <c r="C435" s="823">
        <v>88</v>
      </c>
      <c r="D435" s="552">
        <f t="shared" si="18"/>
        <v>0</v>
      </c>
      <c r="E435" s="155" t="s">
        <v>89</v>
      </c>
      <c r="F435" s="561" t="s">
        <v>521</v>
      </c>
      <c r="G435" s="561" t="s">
        <v>521</v>
      </c>
      <c r="H435" s="561" t="s">
        <v>521</v>
      </c>
      <c r="I435" s="561" t="s">
        <v>521</v>
      </c>
      <c r="J435" s="561" t="s">
        <v>521</v>
      </c>
      <c r="K435" s="561" t="s">
        <v>521</v>
      </c>
      <c r="L435" s="561" t="s">
        <v>521</v>
      </c>
      <c r="O435" s="304" t="s">
        <v>89</v>
      </c>
    </row>
    <row r="436" spans="3:15" x14ac:dyDescent="0.25">
      <c r="C436" s="823">
        <v>89</v>
      </c>
      <c r="D436" s="552">
        <f t="shared" si="18"/>
        <v>0</v>
      </c>
      <c r="E436" s="155" t="s">
        <v>89</v>
      </c>
      <c r="F436" s="561" t="s">
        <v>521</v>
      </c>
      <c r="G436" s="561" t="s">
        <v>521</v>
      </c>
      <c r="H436" s="561" t="s">
        <v>521</v>
      </c>
      <c r="I436" s="561" t="s">
        <v>521</v>
      </c>
      <c r="J436" s="561" t="s">
        <v>521</v>
      </c>
      <c r="K436" s="561" t="s">
        <v>521</v>
      </c>
      <c r="L436" s="561" t="s">
        <v>521</v>
      </c>
      <c r="O436" s="304" t="s">
        <v>89</v>
      </c>
    </row>
    <row r="437" spans="3:15" x14ac:dyDescent="0.25">
      <c r="C437" s="824" t="s">
        <v>509</v>
      </c>
      <c r="D437" s="553">
        <f t="shared" si="18"/>
        <v>0</v>
      </c>
      <c r="E437" s="161" t="s">
        <v>89</v>
      </c>
      <c r="F437" s="562" t="s">
        <v>521</v>
      </c>
      <c r="G437" s="562" t="s">
        <v>521</v>
      </c>
      <c r="H437" s="562" t="s">
        <v>521</v>
      </c>
      <c r="I437" s="562" t="s">
        <v>521</v>
      </c>
      <c r="J437" s="562" t="s">
        <v>521</v>
      </c>
      <c r="K437" s="562" t="s">
        <v>521</v>
      </c>
      <c r="L437" s="562" t="s">
        <v>521</v>
      </c>
      <c r="O437" s="304" t="s">
        <v>89</v>
      </c>
    </row>
    <row r="438" spans="3:15" x14ac:dyDescent="0.25">
      <c r="O438" s="304" t="s">
        <v>89</v>
      </c>
    </row>
    <row r="439" spans="3:15" x14ac:dyDescent="0.25">
      <c r="C439" s="1043" t="s">
        <v>1113</v>
      </c>
      <c r="D439" s="1111" t="str">
        <f>$D$63</f>
        <v>Alap</v>
      </c>
      <c r="O439" s="304" t="s">
        <v>89</v>
      </c>
    </row>
    <row r="440" spans="3:15" x14ac:dyDescent="0.25">
      <c r="C440" s="1045"/>
      <c r="D440" s="1112"/>
      <c r="O440" s="304" t="s">
        <v>89</v>
      </c>
    </row>
    <row r="441" spans="3:15" x14ac:dyDescent="0.25">
      <c r="C441" s="4"/>
      <c r="D441" s="4"/>
      <c r="E441" s="4"/>
      <c r="O441" s="304" t="s">
        <v>89</v>
      </c>
    </row>
    <row r="442" spans="3:15" x14ac:dyDescent="0.25">
      <c r="C442" s="969" t="s">
        <v>1112</v>
      </c>
      <c r="D442" s="455">
        <f>SUM(H11:I11)-SUM(H17:I17)</f>
        <v>0</v>
      </c>
      <c r="O442" s="304" t="s">
        <v>89</v>
      </c>
    </row>
    <row r="443" spans="3:15" x14ac:dyDescent="0.25">
      <c r="C443" s="4"/>
      <c r="D443" s="4"/>
      <c r="E443" s="4"/>
      <c r="O443" s="304" t="s">
        <v>89</v>
      </c>
    </row>
    <row r="444" spans="3:15" x14ac:dyDescent="0.25">
      <c r="C444" s="165" t="s">
        <v>1114</v>
      </c>
      <c r="D444" s="166"/>
      <c r="E444" s="166"/>
      <c r="F444" s="166"/>
      <c r="G444" s="166"/>
      <c r="H444" s="166"/>
      <c r="I444" s="166"/>
      <c r="J444" s="167"/>
      <c r="O444" s="304" t="s">
        <v>89</v>
      </c>
    </row>
    <row r="445" spans="3:15" x14ac:dyDescent="0.25">
      <c r="C445" s="970" t="s">
        <v>532</v>
      </c>
      <c r="D445" s="522"/>
      <c r="O445" s="304" t="s">
        <v>89</v>
      </c>
    </row>
    <row r="446" spans="3:15" x14ac:dyDescent="0.25">
      <c r="C446" s="699" t="s">
        <v>875</v>
      </c>
      <c r="D446" s="524"/>
      <c r="O446" s="304" t="s">
        <v>89</v>
      </c>
    </row>
    <row r="447" spans="3:15" x14ac:dyDescent="0.25">
      <c r="C447" s="703" t="s">
        <v>60</v>
      </c>
      <c r="D447" s="527"/>
      <c r="O447" s="304" t="s">
        <v>89</v>
      </c>
    </row>
    <row r="448" spans="3:15" x14ac:dyDescent="0.25">
      <c r="O448" s="304" t="s">
        <v>89</v>
      </c>
    </row>
    <row r="449" spans="1:15" x14ac:dyDescent="0.25">
      <c r="C449" s="165" t="s">
        <v>1115</v>
      </c>
      <c r="D449" s="166"/>
      <c r="E449" s="166"/>
      <c r="F449" s="166"/>
      <c r="G449" s="166"/>
      <c r="H449" s="166"/>
      <c r="I449" s="166"/>
      <c r="J449" s="167"/>
      <c r="O449" s="304" t="s">
        <v>89</v>
      </c>
    </row>
    <row r="450" spans="1:15" x14ac:dyDescent="0.25">
      <c r="C450" s="970" t="s">
        <v>532</v>
      </c>
      <c r="D450" s="522"/>
      <c r="O450" s="304" t="s">
        <v>89</v>
      </c>
    </row>
    <row r="451" spans="1:15" x14ac:dyDescent="0.25">
      <c r="C451" s="699" t="s">
        <v>534</v>
      </c>
      <c r="D451" s="524"/>
      <c r="O451" s="304" t="s">
        <v>89</v>
      </c>
    </row>
    <row r="452" spans="1:15" x14ac:dyDescent="0.25">
      <c r="C452" s="703" t="s">
        <v>60</v>
      </c>
      <c r="D452" s="527"/>
      <c r="O452" s="304" t="s">
        <v>89</v>
      </c>
    </row>
    <row r="453" spans="1:15" x14ac:dyDescent="0.25">
      <c r="O453" s="304" t="s">
        <v>89</v>
      </c>
    </row>
    <row r="454" spans="1:15" x14ac:dyDescent="0.25">
      <c r="A454" s="312" t="s">
        <v>89</v>
      </c>
      <c r="B454" s="312" t="s">
        <v>89</v>
      </c>
      <c r="C454" s="312" t="s">
        <v>89</v>
      </c>
      <c r="D454" s="312" t="s">
        <v>89</v>
      </c>
      <c r="E454" s="312" t="s">
        <v>89</v>
      </c>
      <c r="F454" s="312" t="s">
        <v>89</v>
      </c>
      <c r="G454" s="312" t="s">
        <v>89</v>
      </c>
      <c r="H454" s="312" t="s">
        <v>89</v>
      </c>
      <c r="I454" s="312" t="s">
        <v>89</v>
      </c>
      <c r="J454" s="312" t="s">
        <v>89</v>
      </c>
      <c r="K454" s="312" t="s">
        <v>89</v>
      </c>
      <c r="L454" s="312" t="s">
        <v>89</v>
      </c>
      <c r="M454" s="312" t="s">
        <v>89</v>
      </c>
      <c r="N454" s="312" t="s">
        <v>89</v>
      </c>
      <c r="O454" s="304" t="s">
        <v>89</v>
      </c>
    </row>
  </sheetData>
  <mergeCells count="125">
    <mergeCell ref="H322:M322"/>
    <mergeCell ref="C204:D204"/>
    <mergeCell ref="C205:D205"/>
    <mergeCell ref="C206:D206"/>
    <mergeCell ref="C211:D211"/>
    <mergeCell ref="C212:D212"/>
    <mergeCell ref="C207:D207"/>
    <mergeCell ref="D259:D260"/>
    <mergeCell ref="F268:G268"/>
    <mergeCell ref="F269:G269"/>
    <mergeCell ref="J207:L207"/>
    <mergeCell ref="C208:D208"/>
    <mergeCell ref="C209:D209"/>
    <mergeCell ref="C210:D210"/>
    <mergeCell ref="C215:D215"/>
    <mergeCell ref="C196:D196"/>
    <mergeCell ref="C197:D197"/>
    <mergeCell ref="C198:D198"/>
    <mergeCell ref="C199:D199"/>
    <mergeCell ref="C200:D200"/>
    <mergeCell ref="C201:D201"/>
    <mergeCell ref="C202:D202"/>
    <mergeCell ref="J202:L202"/>
    <mergeCell ref="C203:D203"/>
    <mergeCell ref="C170:D170"/>
    <mergeCell ref="J170:L170"/>
    <mergeCell ref="C171:D171"/>
    <mergeCell ref="C172:D172"/>
    <mergeCell ref="C173:D173"/>
    <mergeCell ref="C174:D174"/>
    <mergeCell ref="C175:D175"/>
    <mergeCell ref="C176:D176"/>
    <mergeCell ref="C178:C179"/>
    <mergeCell ref="D178:D179"/>
    <mergeCell ref="C161:C162"/>
    <mergeCell ref="D161:D162"/>
    <mergeCell ref="C164:D164"/>
    <mergeCell ref="M164:N164"/>
    <mergeCell ref="C165:D165"/>
    <mergeCell ref="C166:D166"/>
    <mergeCell ref="C167:D167"/>
    <mergeCell ref="C168:D168"/>
    <mergeCell ref="C169:D169"/>
    <mergeCell ref="C152:D152"/>
    <mergeCell ref="J152:L152"/>
    <mergeCell ref="C153:D153"/>
    <mergeCell ref="C154:D154"/>
    <mergeCell ref="C155:D155"/>
    <mergeCell ref="C156:D156"/>
    <mergeCell ref="C157:D157"/>
    <mergeCell ref="C158:D158"/>
    <mergeCell ref="C159:D159"/>
    <mergeCell ref="C143:D143"/>
    <mergeCell ref="C144:D144"/>
    <mergeCell ref="C145:D145"/>
    <mergeCell ref="C146:D146"/>
    <mergeCell ref="C147:D147"/>
    <mergeCell ref="C148:D148"/>
    <mergeCell ref="C149:D149"/>
    <mergeCell ref="C150:D150"/>
    <mergeCell ref="C151:D151"/>
    <mergeCell ref="C135:D135"/>
    <mergeCell ref="C136:D136"/>
    <mergeCell ref="C137:D137"/>
    <mergeCell ref="J137:L137"/>
    <mergeCell ref="C138:D138"/>
    <mergeCell ref="C139:D139"/>
    <mergeCell ref="C140:D140"/>
    <mergeCell ref="C141:D141"/>
    <mergeCell ref="C142:D142"/>
    <mergeCell ref="X100:X101"/>
    <mergeCell ref="C131:C132"/>
    <mergeCell ref="D131:D132"/>
    <mergeCell ref="C134:D134"/>
    <mergeCell ref="H134:I134"/>
    <mergeCell ref="M134:N134"/>
    <mergeCell ref="R100:R101"/>
    <mergeCell ref="S100:S101"/>
    <mergeCell ref="T100:T101"/>
    <mergeCell ref="U100:U101"/>
    <mergeCell ref="C66:C67"/>
    <mergeCell ref="D66:D67"/>
    <mergeCell ref="R75:R76"/>
    <mergeCell ref="S75:S76"/>
    <mergeCell ref="V100:V101"/>
    <mergeCell ref="W100:W101"/>
    <mergeCell ref="T75:T76"/>
    <mergeCell ref="U75:U76"/>
    <mergeCell ref="V75:V76"/>
    <mergeCell ref="C87:D87"/>
    <mergeCell ref="C97:C98"/>
    <mergeCell ref="D97:D98"/>
    <mergeCell ref="C4:C5"/>
    <mergeCell ref="D4:D5"/>
    <mergeCell ref="M9:N11"/>
    <mergeCell ref="J10:K11"/>
    <mergeCell ref="I31:J31"/>
    <mergeCell ref="C36:C37"/>
    <mergeCell ref="D36:D37"/>
    <mergeCell ref="C63:C64"/>
    <mergeCell ref="D63:D64"/>
    <mergeCell ref="C439:C440"/>
    <mergeCell ref="D439:D440"/>
    <mergeCell ref="C231:C232"/>
    <mergeCell ref="D231:D232"/>
    <mergeCell ref="C259:C260"/>
    <mergeCell ref="F270:G270"/>
    <mergeCell ref="F271:G271"/>
    <mergeCell ref="F272:G272"/>
    <mergeCell ref="H323:M323"/>
    <mergeCell ref="F273:G273"/>
    <mergeCell ref="F274:G274"/>
    <mergeCell ref="C306:C307"/>
    <mergeCell ref="D306:D307"/>
    <mergeCell ref="H316:M316"/>
    <mergeCell ref="H317:M317"/>
    <mergeCell ref="H324:M324"/>
    <mergeCell ref="H325:M325"/>
    <mergeCell ref="H326:M326"/>
    <mergeCell ref="C341:C342"/>
    <mergeCell ref="D341:D342"/>
    <mergeCell ref="H318:M318"/>
    <mergeCell ref="H319:M319"/>
    <mergeCell ref="H320:M320"/>
    <mergeCell ref="H321:M321"/>
  </mergeCells>
  <conditionalFormatting sqref="Q182:W188">
    <cfRule type="expression" dxfId="29" priority="4" stopIfTrue="1">
      <formula>$H$125="upward"</formula>
    </cfRule>
  </conditionalFormatting>
  <conditionalFormatting sqref="Q190:S192">
    <cfRule type="expression" dxfId="28" priority="3" stopIfTrue="1">
      <formula>$H$125="upward"</formula>
    </cfRule>
  </conditionalFormatting>
  <conditionalFormatting sqref="H108:J108">
    <cfRule type="cellIs" dxfId="27" priority="1" stopIfTrue="1" operator="equal">
      <formula>0</formula>
    </cfRule>
  </conditionalFormatting>
  <dataValidations disablePrompts="1" xWindow="861" yWindow="593" count="3">
    <dataValidation type="list" allowBlank="1" showInputMessage="1" showErrorMessage="1" sqref="I312 H316:M326 D316:D326 I31:J31">
      <formula1>$P$315:$P$317</formula1>
    </dataValidation>
    <dataValidation type="list" allowBlank="1" showInputMessage="1" showErrorMessage="1" sqref="D6">
      <formula1>$Q$6:$Q$8</formula1>
    </dataValidation>
    <dataValidation type="custom" allowBlank="1" showInputMessage="1" showErrorMessage="1" error="Own funds restriction cannot be a positive amount" sqref="M88:M95">
      <formula1>SUM(M88)&lt;=0</formula1>
    </dataValidation>
  </dataValidations>
  <pageMargins left="0.25" right="0.25" top="0.75" bottom="0.75" header="0.3" footer="0.3"/>
  <pageSetup paperSize="9" orientation="landscape" r:id="rId1"/>
  <rowBreaks count="9" manualBreakCount="9">
    <brk id="35" max="16383" man="1"/>
    <brk id="62" max="16383" man="1"/>
    <brk id="96" max="16383" man="1"/>
    <brk id="130" max="16383" man="1"/>
    <brk id="160" max="16383" man="1"/>
    <brk id="177" max="16383" man="1"/>
    <brk id="230" max="16383" man="1"/>
    <brk id="258" max="16383" man="1"/>
    <brk id="305" max="16383" man="1"/>
  </rowBreaks>
  <ignoredErrors>
    <ignoredError sqref="J111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13</vt:i4>
      </vt:variant>
      <vt:variant>
        <vt:lpstr>Névvel ellátott tartományok</vt:lpstr>
      </vt:variant>
      <vt:variant>
        <vt:i4>50</vt:i4>
      </vt:variant>
    </vt:vector>
  </HeadingPairs>
  <TitlesOfParts>
    <vt:vector size="63" baseType="lpstr">
      <vt:lpstr>P.Index</vt:lpstr>
      <vt:lpstr>Participant</vt:lpstr>
      <vt:lpstr>Állampapírok</vt:lpstr>
      <vt:lpstr>BS</vt:lpstr>
      <vt:lpstr>BS+</vt:lpstr>
      <vt:lpstr>SI</vt:lpstr>
      <vt:lpstr>Shared-2013</vt:lpstr>
      <vt:lpstr>BS-SI-Alap</vt:lpstr>
      <vt:lpstr>0. Alap</vt:lpstr>
      <vt:lpstr>1. Illeszkedési kiigazítás</vt:lpstr>
      <vt:lpstr>Részletek -1. illeszkedési kiig</vt:lpstr>
      <vt:lpstr>2. VA és TM</vt:lpstr>
      <vt:lpstr>Overview</vt:lpstr>
      <vt:lpstr>_AllCountries</vt:lpstr>
      <vt:lpstr>_EEACountries</vt:lpstr>
      <vt:lpstr>_hasCurrentRFF</vt:lpstr>
      <vt:lpstr>_IsComposite</vt:lpstr>
      <vt:lpstr>_IsMutual</vt:lpstr>
      <vt:lpstr>_IsNetSCREstimated</vt:lpstr>
      <vt:lpstr>_ISO4217</vt:lpstr>
      <vt:lpstr>_ISO4217_All</vt:lpstr>
      <vt:lpstr>_ISO4217_EEA</vt:lpstr>
      <vt:lpstr>_NonEEACountries</vt:lpstr>
      <vt:lpstr>_SingleBS</vt:lpstr>
      <vt:lpstr>_TS_</vt:lpstr>
      <vt:lpstr>_TSII_</vt:lpstr>
      <vt:lpstr>Participant!_WithIMInformation</vt:lpstr>
      <vt:lpstr>'0. Alap'!Corr</vt:lpstr>
      <vt:lpstr>'1. Illeszkedési kiigazítás'!Corr</vt:lpstr>
      <vt:lpstr>'2. VA és TM'!Corr</vt:lpstr>
      <vt:lpstr>'0. Alap'!CorrCounterparty</vt:lpstr>
      <vt:lpstr>'1. Illeszkedési kiigazítás'!CorrCounterparty</vt:lpstr>
      <vt:lpstr>'2. VA és TM'!CorrCounterparty</vt:lpstr>
      <vt:lpstr>'0. Alap'!CorrHealth</vt:lpstr>
      <vt:lpstr>'1. Illeszkedési kiigazítás'!CorrHealth</vt:lpstr>
      <vt:lpstr>'2. VA és TM'!CorrHealth</vt:lpstr>
      <vt:lpstr>'0. Alap'!CorrLife</vt:lpstr>
      <vt:lpstr>'1. Illeszkedési kiigazítás'!CorrLife</vt:lpstr>
      <vt:lpstr>'2. VA és TM'!CorrLife</vt:lpstr>
      <vt:lpstr>'0. Alap'!CorrMkt</vt:lpstr>
      <vt:lpstr>'1. Illeszkedési kiigazítás'!CorrMkt</vt:lpstr>
      <vt:lpstr>'2. VA és TM'!CorrMkt</vt:lpstr>
      <vt:lpstr>Devizanem</vt:lpstr>
      <vt:lpstr>'0. Alap'!HealthNonSLT_lapse</vt:lpstr>
      <vt:lpstr>'1. Illeszkedési kiigazítás'!HealthNonSLT_lapse</vt:lpstr>
      <vt:lpstr>'2. VA és TM'!HealthNonSLT_lapse</vt:lpstr>
      <vt:lpstr>'0. Alap'!HealthNonSLT_pr</vt:lpstr>
      <vt:lpstr>'1. Illeszkedési kiigazítás'!HealthNonSLT_pr</vt:lpstr>
      <vt:lpstr>'2. VA és TM'!HealthNonSLT_pr</vt:lpstr>
      <vt:lpstr>'Részletek -1. illeszkedési kiig'!Nyomtatási_cím</vt:lpstr>
      <vt:lpstr>'0. Alap'!Nyomtatási_terület</vt:lpstr>
      <vt:lpstr>'1. Illeszkedési kiigazítás'!Nyomtatási_terület</vt:lpstr>
      <vt:lpstr>'2. VA és TM'!Nyomtatási_terület</vt:lpstr>
      <vt:lpstr>BS!Nyomtatási_terület</vt:lpstr>
      <vt:lpstr>'BS+'!Nyomtatási_terület</vt:lpstr>
      <vt:lpstr>'BS-SI-Alap'!Nyomtatási_terület</vt:lpstr>
      <vt:lpstr>Overview!Nyomtatási_terület</vt:lpstr>
      <vt:lpstr>P.Index!Nyomtatási_terület</vt:lpstr>
      <vt:lpstr>Participant!Nyomtatási_terület</vt:lpstr>
      <vt:lpstr>'Részletek -1. illeszkedési kiig'!Nyomtatási_terület</vt:lpstr>
      <vt:lpstr>'Shared-2013'!Nyomtatási_terület</vt:lpstr>
      <vt:lpstr>SI!Nyomtatási_terület</vt:lpstr>
      <vt:lpstr>Version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2015-01-22T07:33:25Z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1741825115</vt:i4>
  </property>
  <property fmtid="{D5CDD505-2E9C-101B-9397-08002B2CF9AE}" pid="3" name="_NewReviewCycle">
    <vt:lpwstr/>
  </property>
  <property fmtid="{D5CDD505-2E9C-101B-9397-08002B2CF9AE}" pid="4" name="_PreviousAdHocReviewCycleID">
    <vt:i4>-1011342352</vt:i4>
  </property>
  <property fmtid="{D5CDD505-2E9C-101B-9397-08002B2CF9AE}" pid="5" name="_ReviewingToolsShownOnce">
    <vt:lpwstr/>
  </property>
</Properties>
</file>