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45" windowWidth="18975" windowHeight="11955" tabRatio="881" firstSheet="1" activeTab="1"/>
  </bookViews>
  <sheets>
    <sheet name="Alapra terhelt költségek (2)" sheetId="9" state="hidden" r:id="rId1"/>
    <sheet name="TER_2013" sheetId="2" r:id="rId2"/>
  </sheets>
  <definedNames>
    <definedName name="_xlnm._FilterDatabase" localSheetId="0" hidden="1">'Alapra terhelt költségek (2)'!$A$3:$AN$569</definedName>
    <definedName name="_xlnm._FilterDatabase" localSheetId="1" hidden="1">TER_2013!$A$2:$I$551</definedName>
    <definedName name="_xlnm.Print_Area" localSheetId="0">'Alapra terhelt költségek (2)'!$A$4:$A$17</definedName>
    <definedName name="_xlnm.Print_Area" localSheetId="1">TER_2013!$A$3:$A$12</definedName>
  </definedNames>
  <calcPr calcId="145621"/>
</workbook>
</file>

<file path=xl/calcChain.xml><?xml version="1.0" encoding="utf-8"?>
<calcChain xmlns="http://schemas.openxmlformats.org/spreadsheetml/2006/main">
  <c r="AE3" i="2" l="1"/>
  <c r="AE4" i="2"/>
  <c r="AE5" i="2"/>
  <c r="AE6" i="2"/>
  <c r="AE7" i="2"/>
  <c r="AE8" i="2"/>
  <c r="AE9" i="2"/>
  <c r="AE10" i="2"/>
  <c r="AE11" i="2"/>
  <c r="AE12" i="2"/>
  <c r="AE13" i="2"/>
  <c r="AE14" i="2"/>
  <c r="AE15" i="2"/>
  <c r="AE16" i="2"/>
  <c r="AE17" i="2"/>
  <c r="AE18" i="2"/>
  <c r="AE19" i="2"/>
  <c r="AE20" i="2"/>
  <c r="AE21" i="2"/>
  <c r="AE22" i="2"/>
  <c r="AE25" i="2"/>
  <c r="AE26" i="2"/>
  <c r="AE27" i="2"/>
  <c r="AE28" i="2"/>
  <c r="AE29" i="2"/>
  <c r="AE30" i="2"/>
  <c r="AE31" i="2"/>
  <c r="AE32" i="2"/>
  <c r="AE33" i="2"/>
  <c r="AE34" i="2"/>
  <c r="AE35" i="2"/>
  <c r="AE36" i="2"/>
  <c r="AE37" i="2"/>
  <c r="AE38" i="2"/>
  <c r="AE40" i="2"/>
  <c r="AE42" i="2"/>
  <c r="AE43" i="2"/>
  <c r="AE44" i="2"/>
  <c r="AE45" i="2"/>
  <c r="AE46" i="2"/>
  <c r="AE47" i="2"/>
  <c r="AE48" i="2"/>
  <c r="AE49" i="2"/>
  <c r="AE53" i="2"/>
  <c r="AE55" i="2"/>
  <c r="AE56" i="2"/>
  <c r="AE57" i="2"/>
  <c r="AE58" i="2"/>
  <c r="AE59" i="2"/>
  <c r="AE60" i="2"/>
  <c r="AE61" i="2"/>
  <c r="AE62" i="2"/>
  <c r="AE63" i="2"/>
  <c r="AE64" i="2"/>
  <c r="AE65" i="2"/>
  <c r="AE66" i="2"/>
  <c r="AE67" i="2"/>
  <c r="AE68" i="2"/>
  <c r="AE69" i="2"/>
  <c r="AE70" i="2"/>
  <c r="AE71" i="2"/>
  <c r="AE72" i="2"/>
  <c r="AE73" i="2"/>
  <c r="AE74" i="2"/>
  <c r="AE75" i="2"/>
  <c r="AE76" i="2"/>
  <c r="AE77" i="2"/>
  <c r="AE78" i="2"/>
  <c r="AE79" i="2"/>
  <c r="AE80" i="2"/>
  <c r="AE81" i="2"/>
  <c r="AE82" i="2"/>
  <c r="AE83" i="2"/>
  <c r="AE84" i="2"/>
  <c r="AE85" i="2"/>
  <c r="AE86" i="2"/>
  <c r="AE87" i="2"/>
  <c r="AE88" i="2"/>
  <c r="AE89" i="2"/>
  <c r="AE90" i="2"/>
  <c r="AE91" i="2"/>
  <c r="AE92" i="2"/>
  <c r="AE93" i="2"/>
  <c r="AE94" i="2"/>
  <c r="AE95" i="2"/>
  <c r="AE96" i="2"/>
  <c r="AE97" i="2"/>
  <c r="AE98" i="2"/>
  <c r="AE99" i="2"/>
  <c r="AE100" i="2"/>
  <c r="AE101" i="2"/>
  <c r="AE103" i="2"/>
  <c r="AE104" i="2"/>
  <c r="AE105" i="2"/>
  <c r="AE106" i="2"/>
  <c r="AE107" i="2"/>
  <c r="AE108" i="2"/>
  <c r="AE109" i="2"/>
  <c r="AE110" i="2"/>
  <c r="AE111" i="2"/>
  <c r="AE112" i="2"/>
  <c r="AE114" i="2"/>
  <c r="AE115" i="2"/>
  <c r="AE116" i="2"/>
  <c r="AE117" i="2"/>
  <c r="AE118" i="2"/>
  <c r="AE119" i="2"/>
  <c r="AE120" i="2"/>
  <c r="AE121" i="2"/>
  <c r="AE122" i="2"/>
  <c r="AE123" i="2"/>
  <c r="AE124" i="2"/>
  <c r="AE125" i="2"/>
  <c r="AE126" i="2"/>
  <c r="AE127" i="2"/>
  <c r="AE128" i="2"/>
  <c r="AE129" i="2"/>
  <c r="AE130" i="2"/>
  <c r="AE131" i="2"/>
  <c r="AE132" i="2"/>
  <c r="AE133" i="2"/>
  <c r="AE134" i="2"/>
  <c r="AE135" i="2"/>
  <c r="AE136" i="2"/>
  <c r="AE137" i="2"/>
  <c r="AE138" i="2"/>
  <c r="AE140" i="2"/>
  <c r="AE141" i="2"/>
  <c r="AE142" i="2"/>
  <c r="AE144" i="2"/>
  <c r="AE145" i="2"/>
  <c r="AE146" i="2"/>
  <c r="AE147" i="2"/>
  <c r="AE148" i="2"/>
  <c r="AE149" i="2"/>
  <c r="AE150" i="2"/>
  <c r="AE151" i="2"/>
  <c r="AE152" i="2"/>
  <c r="AE153" i="2"/>
  <c r="AE154" i="2"/>
  <c r="AE155" i="2"/>
  <c r="AE156" i="2"/>
  <c r="AE157" i="2"/>
  <c r="AE158" i="2"/>
  <c r="AE159" i="2"/>
  <c r="AE160" i="2"/>
  <c r="AE162" i="2"/>
  <c r="AE163" i="2"/>
  <c r="AE166" i="2"/>
  <c r="AE167" i="2"/>
  <c r="AE170" i="2"/>
  <c r="AE171" i="2"/>
  <c r="AE172" i="2"/>
  <c r="AE173" i="2"/>
  <c r="AE174" i="2"/>
  <c r="AE176" i="2"/>
  <c r="AE177" i="2"/>
  <c r="AE180" i="2"/>
  <c r="AE181" i="2"/>
  <c r="AE182" i="2"/>
  <c r="AE184" i="2"/>
  <c r="AE187" i="2"/>
  <c r="AE188" i="2"/>
  <c r="AE191" i="2"/>
  <c r="AE192" i="2"/>
  <c r="AE193" i="2"/>
  <c r="AE195" i="2"/>
  <c r="AE197" i="2"/>
  <c r="AE199" i="2"/>
  <c r="AE200" i="2"/>
  <c r="AE202" i="2"/>
  <c r="AE204" i="2"/>
  <c r="AE205" i="2"/>
  <c r="AE206" i="2"/>
  <c r="AE207" i="2"/>
  <c r="AE210" i="2"/>
  <c r="AE211" i="2"/>
  <c r="AE212" i="2"/>
  <c r="AE213" i="2"/>
  <c r="AE214" i="2"/>
  <c r="AE215" i="2"/>
  <c r="AE216" i="2"/>
  <c r="AE217" i="2"/>
  <c r="AE218" i="2"/>
  <c r="AE219" i="2"/>
  <c r="AE220" i="2"/>
  <c r="AE221" i="2"/>
  <c r="AE222" i="2"/>
  <c r="AE223" i="2"/>
  <c r="AE224" i="2"/>
  <c r="AE225" i="2"/>
  <c r="AE226" i="2"/>
  <c r="AE227" i="2"/>
  <c r="AE228" i="2"/>
  <c r="AE229" i="2"/>
  <c r="AE230" i="2"/>
  <c r="AE231" i="2"/>
  <c r="AE232" i="2"/>
  <c r="AE233" i="2"/>
  <c r="AE234" i="2"/>
  <c r="AE235" i="2"/>
  <c r="AE236" i="2"/>
  <c r="AE237" i="2"/>
  <c r="AE238" i="2"/>
  <c r="AE239" i="2"/>
  <c r="AE240" i="2"/>
  <c r="AE241" i="2"/>
  <c r="AE242" i="2"/>
  <c r="AE243" i="2"/>
  <c r="AE244" i="2"/>
  <c r="AE245" i="2"/>
  <c r="AE246" i="2"/>
  <c r="AE247" i="2"/>
  <c r="AE248" i="2"/>
  <c r="AE249" i="2"/>
  <c r="AE250" i="2"/>
  <c r="AE251" i="2"/>
  <c r="AE252" i="2"/>
  <c r="AE253" i="2"/>
  <c r="AE254" i="2"/>
  <c r="AE255" i="2"/>
  <c r="AE256" i="2"/>
  <c r="AE257" i="2"/>
  <c r="AE258" i="2"/>
  <c r="AE259" i="2"/>
  <c r="AE260" i="2"/>
  <c r="AE261" i="2"/>
  <c r="AE262" i="2"/>
  <c r="AE263" i="2"/>
  <c r="AE264" i="2"/>
  <c r="AE265" i="2"/>
  <c r="AE266" i="2"/>
  <c r="AE267" i="2"/>
  <c r="AE268" i="2"/>
  <c r="AE269" i="2"/>
  <c r="AE270" i="2"/>
  <c r="AE271" i="2"/>
  <c r="AE272" i="2"/>
  <c r="AE273" i="2"/>
  <c r="AE274" i="2"/>
  <c r="AE275" i="2"/>
  <c r="AE276" i="2"/>
  <c r="AE277" i="2"/>
  <c r="AE278" i="2"/>
  <c r="AE279" i="2"/>
  <c r="AE280" i="2"/>
  <c r="AE281" i="2"/>
  <c r="AE282" i="2"/>
  <c r="AE283" i="2"/>
  <c r="AE284" i="2"/>
  <c r="AE285" i="2"/>
  <c r="AE286" i="2"/>
  <c r="AE287" i="2"/>
  <c r="AE288" i="2"/>
  <c r="AE289" i="2"/>
  <c r="AE290" i="2"/>
  <c r="AE291" i="2"/>
  <c r="AE292" i="2"/>
  <c r="AE293" i="2"/>
  <c r="AE294" i="2"/>
  <c r="AE295" i="2"/>
  <c r="AE296" i="2"/>
  <c r="AE297" i="2"/>
  <c r="AE298" i="2"/>
  <c r="AE299" i="2"/>
  <c r="AE300" i="2"/>
  <c r="AE301" i="2"/>
  <c r="AE302" i="2"/>
  <c r="AE303" i="2"/>
  <c r="AE304" i="2"/>
  <c r="AE305" i="2"/>
  <c r="AE306" i="2"/>
  <c r="AE307" i="2"/>
  <c r="AE308" i="2"/>
  <c r="AE309" i="2"/>
  <c r="AE310" i="2"/>
  <c r="AE311" i="2"/>
  <c r="AE312" i="2"/>
  <c r="AE313" i="2"/>
  <c r="AE314" i="2"/>
  <c r="AE315" i="2"/>
  <c r="AE316" i="2"/>
  <c r="AE317" i="2"/>
  <c r="AE318" i="2"/>
  <c r="AE319" i="2"/>
  <c r="AE320" i="2"/>
  <c r="AE321" i="2"/>
  <c r="AE322" i="2"/>
  <c r="AE323" i="2"/>
  <c r="AE324" i="2"/>
  <c r="AE325" i="2"/>
  <c r="AE326" i="2"/>
  <c r="AE327" i="2"/>
  <c r="AE328" i="2"/>
  <c r="AE329" i="2"/>
  <c r="AE330" i="2"/>
  <c r="AE331" i="2"/>
  <c r="AE332" i="2"/>
  <c r="AE333" i="2"/>
  <c r="AE334" i="2"/>
  <c r="AE335" i="2"/>
  <c r="AE336" i="2"/>
  <c r="AE337" i="2"/>
  <c r="AE338" i="2"/>
  <c r="AE339" i="2"/>
  <c r="AE340" i="2"/>
  <c r="AE341" i="2"/>
  <c r="AE342" i="2"/>
  <c r="AE343" i="2"/>
  <c r="AE344" i="2"/>
  <c r="AE345" i="2"/>
  <c r="AE346" i="2"/>
  <c r="AE347" i="2"/>
  <c r="AE348" i="2"/>
  <c r="AE349" i="2"/>
  <c r="AE350" i="2"/>
  <c r="AE351" i="2"/>
  <c r="AE352" i="2"/>
  <c r="AE353" i="2"/>
  <c r="AE354" i="2"/>
  <c r="AE355" i="2"/>
  <c r="AE356" i="2"/>
  <c r="AE357" i="2"/>
  <c r="AE358" i="2"/>
  <c r="AE359" i="2"/>
  <c r="AE360" i="2"/>
  <c r="AE361" i="2"/>
  <c r="AE362" i="2"/>
  <c r="AE363" i="2"/>
  <c r="AE364" i="2"/>
  <c r="AE365" i="2"/>
  <c r="AE366" i="2"/>
  <c r="AE367" i="2"/>
  <c r="AE368" i="2"/>
  <c r="AE369" i="2"/>
  <c r="AE370" i="2"/>
  <c r="AE371" i="2"/>
  <c r="AE372" i="2"/>
  <c r="AE373" i="2"/>
  <c r="AE374" i="2"/>
  <c r="AE375" i="2"/>
  <c r="AE376" i="2"/>
  <c r="AE377" i="2"/>
  <c r="AE378" i="2"/>
  <c r="AE379" i="2"/>
  <c r="AE380" i="2"/>
  <c r="AE381" i="2"/>
  <c r="AE382" i="2"/>
  <c r="AE383" i="2"/>
  <c r="AE384" i="2"/>
  <c r="AE385" i="2"/>
  <c r="AE386" i="2"/>
  <c r="AE387" i="2"/>
  <c r="AE388" i="2"/>
  <c r="AE389" i="2"/>
  <c r="AE390" i="2"/>
  <c r="AE391" i="2"/>
  <c r="AE392" i="2"/>
  <c r="AE393" i="2"/>
  <c r="AE394" i="2"/>
  <c r="AE395" i="2"/>
  <c r="AE396" i="2"/>
  <c r="AE397" i="2"/>
  <c r="AE398" i="2"/>
  <c r="AE399" i="2"/>
  <c r="AE400" i="2"/>
  <c r="AE401" i="2"/>
  <c r="AE402" i="2"/>
  <c r="AE403" i="2"/>
  <c r="AE404" i="2"/>
  <c r="AE405" i="2"/>
  <c r="AE406" i="2"/>
  <c r="AE407" i="2"/>
  <c r="AE408" i="2"/>
  <c r="AE409" i="2"/>
  <c r="AE410" i="2"/>
  <c r="AE411" i="2"/>
  <c r="AE412" i="2"/>
  <c r="AE413" i="2"/>
  <c r="AE414" i="2"/>
  <c r="AE415" i="2"/>
  <c r="AE416" i="2"/>
  <c r="AE417" i="2"/>
  <c r="AE418" i="2"/>
  <c r="AE419" i="2"/>
  <c r="AE420" i="2"/>
  <c r="AE421" i="2"/>
  <c r="AE422" i="2"/>
  <c r="AE423" i="2"/>
  <c r="AE424" i="2"/>
  <c r="AE425" i="2"/>
  <c r="AE426" i="2"/>
  <c r="AE427" i="2"/>
  <c r="AE428" i="2"/>
  <c r="AE429" i="2"/>
  <c r="AE430" i="2"/>
  <c r="AE431" i="2"/>
  <c r="AE432" i="2"/>
  <c r="AE433" i="2"/>
  <c r="AE434" i="2"/>
  <c r="AE435" i="2"/>
  <c r="AE436" i="2"/>
  <c r="AE437" i="2"/>
  <c r="AE438" i="2"/>
  <c r="AE439" i="2"/>
  <c r="AE440" i="2"/>
  <c r="AE441" i="2"/>
  <c r="AE442" i="2"/>
  <c r="AE443" i="2"/>
  <c r="AE444" i="2"/>
  <c r="AE445" i="2"/>
  <c r="AE446" i="2"/>
  <c r="AE447" i="2"/>
  <c r="AE448" i="2"/>
  <c r="AE449" i="2"/>
  <c r="AE450" i="2"/>
  <c r="AE451" i="2"/>
  <c r="AE452" i="2"/>
  <c r="AE453" i="2"/>
  <c r="AE454" i="2"/>
  <c r="AE455" i="2"/>
  <c r="AE456" i="2"/>
  <c r="AE457" i="2"/>
  <c r="AE458" i="2"/>
  <c r="AE459" i="2"/>
  <c r="AE460" i="2"/>
  <c r="AE461" i="2"/>
  <c r="AE462" i="2"/>
  <c r="AE463" i="2"/>
  <c r="AE464" i="2"/>
  <c r="AE465" i="2"/>
  <c r="AE466" i="2"/>
  <c r="AE467" i="2"/>
  <c r="AE468" i="2"/>
  <c r="AE469" i="2"/>
  <c r="AE470" i="2"/>
  <c r="AE471" i="2"/>
  <c r="AE472" i="2"/>
  <c r="AE473" i="2"/>
  <c r="AE474" i="2"/>
  <c r="AE475" i="2"/>
  <c r="AE476" i="2"/>
  <c r="AE477" i="2"/>
  <c r="AE478" i="2"/>
  <c r="AE479" i="2"/>
  <c r="AE480" i="2"/>
  <c r="AE481" i="2"/>
  <c r="AE482" i="2"/>
  <c r="AE483" i="2"/>
  <c r="AE484" i="2"/>
  <c r="AE485" i="2"/>
  <c r="AE486" i="2"/>
  <c r="AE487" i="2"/>
  <c r="AE488" i="2"/>
  <c r="AE489" i="2"/>
  <c r="AE490" i="2"/>
  <c r="AE491" i="2"/>
  <c r="AE492" i="2"/>
  <c r="AE493" i="2"/>
  <c r="AE494" i="2"/>
  <c r="AE495" i="2"/>
  <c r="AE496" i="2"/>
  <c r="AE497" i="2"/>
  <c r="AE498" i="2"/>
  <c r="AE499" i="2"/>
  <c r="AE500" i="2"/>
  <c r="AE501" i="2"/>
  <c r="AE502" i="2"/>
  <c r="AE503" i="2"/>
  <c r="AE504" i="2"/>
  <c r="AE505" i="2"/>
  <c r="AE506" i="2"/>
  <c r="AE507" i="2"/>
  <c r="AE508" i="2"/>
  <c r="AE509" i="2"/>
  <c r="AE510" i="2"/>
  <c r="AE511" i="2"/>
  <c r="AE512" i="2"/>
  <c r="AE513" i="2"/>
  <c r="AE514" i="2"/>
  <c r="AE515" i="2"/>
  <c r="AE516" i="2"/>
  <c r="AE517" i="2"/>
  <c r="AE518" i="2"/>
  <c r="AE519" i="2"/>
  <c r="AE520" i="2"/>
  <c r="AE521" i="2"/>
  <c r="AE522" i="2"/>
  <c r="AE523" i="2"/>
  <c r="AE524" i="2"/>
  <c r="AE525" i="2"/>
  <c r="AE526" i="2"/>
  <c r="AE527" i="2"/>
  <c r="AE528" i="2"/>
  <c r="AE529" i="2"/>
  <c r="AE530" i="2"/>
  <c r="AE531" i="2"/>
  <c r="AE532" i="2"/>
  <c r="AE533" i="2"/>
  <c r="AE534" i="2"/>
  <c r="AE535" i="2"/>
  <c r="AE536" i="2"/>
  <c r="AE537" i="2"/>
  <c r="AE538" i="2"/>
  <c r="AE539" i="2"/>
  <c r="AE540" i="2"/>
  <c r="AE541" i="2"/>
  <c r="AE542" i="2"/>
  <c r="AE543" i="2"/>
  <c r="AE544" i="2"/>
  <c r="AE545" i="2"/>
  <c r="AE546" i="2"/>
  <c r="AE547" i="2"/>
  <c r="AE548" i="2"/>
  <c r="AE549" i="2"/>
  <c r="AE550" i="2"/>
  <c r="AE551" i="2"/>
  <c r="AD3" i="2"/>
  <c r="AD4" i="2"/>
  <c r="AD5" i="2"/>
  <c r="AD6" i="2"/>
  <c r="AD7" i="2"/>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D48" i="2"/>
  <c r="AD49" i="2"/>
  <c r="AD50" i="2"/>
  <c r="AD51" i="2"/>
  <c r="AD52" i="2"/>
  <c r="AD53" i="2"/>
  <c r="AD54" i="2"/>
  <c r="AD55" i="2"/>
  <c r="AD56" i="2"/>
  <c r="AD57" i="2"/>
  <c r="AD58" i="2"/>
  <c r="AD59" i="2"/>
  <c r="AD60" i="2"/>
  <c r="AD61" i="2"/>
  <c r="AD62" i="2"/>
  <c r="AD63" i="2"/>
  <c r="AD64" i="2"/>
  <c r="AD65" i="2"/>
  <c r="AD66" i="2"/>
  <c r="AD67" i="2"/>
  <c r="AD68" i="2"/>
  <c r="AD69" i="2"/>
  <c r="AD70" i="2"/>
  <c r="AD71" i="2"/>
  <c r="AD72" i="2"/>
  <c r="AD73" i="2"/>
  <c r="AD74" i="2"/>
  <c r="AD75" i="2"/>
  <c r="AD76" i="2"/>
  <c r="AD77" i="2"/>
  <c r="AD78" i="2"/>
  <c r="AD79" i="2"/>
  <c r="AD80" i="2"/>
  <c r="AD81" i="2"/>
  <c r="AD82" i="2"/>
  <c r="AD83" i="2"/>
  <c r="AD84" i="2"/>
  <c r="AD85" i="2"/>
  <c r="AD86" i="2"/>
  <c r="AD87" i="2"/>
  <c r="AD88" i="2"/>
  <c r="AD89" i="2"/>
  <c r="AD90" i="2"/>
  <c r="AD91" i="2"/>
  <c r="AD92" i="2"/>
  <c r="AD93" i="2"/>
  <c r="AD94" i="2"/>
  <c r="AD95" i="2"/>
  <c r="AD96" i="2"/>
  <c r="AD97" i="2"/>
  <c r="AD98" i="2"/>
  <c r="AD99" i="2"/>
  <c r="AD100" i="2"/>
  <c r="AD101" i="2"/>
  <c r="AD103" i="2"/>
  <c r="AD104" i="2"/>
  <c r="AD105" i="2"/>
  <c r="AD106" i="2"/>
  <c r="AD107" i="2"/>
  <c r="AD108" i="2"/>
  <c r="AD109" i="2"/>
  <c r="AD110" i="2"/>
  <c r="AD111" i="2"/>
  <c r="AD112" i="2"/>
  <c r="AD114" i="2"/>
  <c r="AD115" i="2"/>
  <c r="AD116" i="2"/>
  <c r="AD117" i="2"/>
  <c r="AD118" i="2"/>
  <c r="AD119" i="2"/>
  <c r="AD120" i="2"/>
  <c r="AD121" i="2"/>
  <c r="AD122" i="2"/>
  <c r="AD123" i="2"/>
  <c r="AD124" i="2"/>
  <c r="AD125" i="2"/>
  <c r="AD126" i="2"/>
  <c r="AD127" i="2"/>
  <c r="AD128" i="2"/>
  <c r="AD129" i="2"/>
  <c r="AD130" i="2"/>
  <c r="AD131" i="2"/>
  <c r="AD132" i="2"/>
  <c r="AD133" i="2"/>
  <c r="AD134" i="2"/>
  <c r="AD135" i="2"/>
  <c r="AD136" i="2"/>
  <c r="AD137" i="2"/>
  <c r="AD138" i="2"/>
  <c r="AD140" i="2"/>
  <c r="AD141" i="2"/>
  <c r="AD142" i="2"/>
  <c r="AD144" i="2"/>
  <c r="AD145" i="2"/>
  <c r="AD146" i="2"/>
  <c r="AD147" i="2"/>
  <c r="AD148" i="2"/>
  <c r="AD149" i="2"/>
  <c r="AD150" i="2"/>
  <c r="AD151" i="2"/>
  <c r="AD152" i="2"/>
  <c r="AD153" i="2"/>
  <c r="AD154" i="2"/>
  <c r="AD155" i="2"/>
  <c r="AD156" i="2"/>
  <c r="AD157" i="2"/>
  <c r="AD158" i="2"/>
  <c r="AD159" i="2"/>
  <c r="AD160" i="2"/>
  <c r="AD162" i="2"/>
  <c r="AD163" i="2"/>
  <c r="AD166" i="2"/>
  <c r="AD167" i="2"/>
  <c r="AD170" i="2"/>
  <c r="AD171" i="2"/>
  <c r="AD172" i="2"/>
  <c r="AD173" i="2"/>
  <c r="AD174" i="2"/>
  <c r="AD176" i="2"/>
  <c r="AD177" i="2"/>
  <c r="AD180" i="2"/>
  <c r="AD181" i="2"/>
  <c r="AD182" i="2"/>
  <c r="AD184" i="2"/>
  <c r="AD187" i="2"/>
  <c r="AD188" i="2"/>
  <c r="AD191" i="2"/>
  <c r="AD192" i="2"/>
  <c r="AD193" i="2"/>
  <c r="AD195" i="2"/>
  <c r="AD197" i="2"/>
  <c r="AD199" i="2"/>
  <c r="AD200" i="2"/>
  <c r="AD202" i="2"/>
  <c r="AD204" i="2"/>
  <c r="AD205" i="2"/>
  <c r="AD206" i="2"/>
  <c r="AD207" i="2"/>
  <c r="AD210" i="2"/>
  <c r="AD211" i="2"/>
  <c r="AD212" i="2"/>
  <c r="AD213" i="2"/>
  <c r="AD214" i="2"/>
  <c r="AD215" i="2"/>
  <c r="AD216" i="2"/>
  <c r="AD217" i="2"/>
  <c r="AD218" i="2"/>
  <c r="AD219" i="2"/>
  <c r="AD220" i="2"/>
  <c r="AD221" i="2"/>
  <c r="AD222" i="2"/>
  <c r="AD223" i="2"/>
  <c r="AD224" i="2"/>
  <c r="AD225" i="2"/>
  <c r="AD226" i="2"/>
  <c r="AD227" i="2"/>
  <c r="AD228" i="2"/>
  <c r="AD229" i="2"/>
  <c r="AD230" i="2"/>
  <c r="AD231" i="2"/>
  <c r="AD232" i="2"/>
  <c r="AD233" i="2"/>
  <c r="AD234" i="2"/>
  <c r="AD235" i="2"/>
  <c r="AD236" i="2"/>
  <c r="AD237" i="2"/>
  <c r="AD238" i="2"/>
  <c r="AD239" i="2"/>
  <c r="AD240" i="2"/>
  <c r="AD241" i="2"/>
  <c r="AD242" i="2"/>
  <c r="AD243" i="2"/>
  <c r="AD244" i="2"/>
  <c r="AD245" i="2"/>
  <c r="AD246" i="2"/>
  <c r="AD247" i="2"/>
  <c r="AD248" i="2"/>
  <c r="AD249" i="2"/>
  <c r="AD250" i="2"/>
  <c r="AD251" i="2"/>
  <c r="AD252" i="2"/>
  <c r="AD253" i="2"/>
  <c r="AD254" i="2"/>
  <c r="AD255" i="2"/>
  <c r="AD256" i="2"/>
  <c r="AD257" i="2"/>
  <c r="AD258" i="2"/>
  <c r="AD259" i="2"/>
  <c r="AD260" i="2"/>
  <c r="AD261" i="2"/>
  <c r="AD262" i="2"/>
  <c r="AD263" i="2"/>
  <c r="AD264" i="2"/>
  <c r="AD265" i="2"/>
  <c r="AD266" i="2"/>
  <c r="AD267" i="2"/>
  <c r="AD268" i="2"/>
  <c r="AD269" i="2"/>
  <c r="AD270" i="2"/>
  <c r="AD271" i="2"/>
  <c r="AD272" i="2"/>
  <c r="AD273" i="2"/>
  <c r="AD274" i="2"/>
  <c r="AD275" i="2"/>
  <c r="AD276" i="2"/>
  <c r="AD277" i="2"/>
  <c r="AD278" i="2"/>
  <c r="AD279" i="2"/>
  <c r="AD280" i="2"/>
  <c r="AD281" i="2"/>
  <c r="AD282" i="2"/>
  <c r="AD283" i="2"/>
  <c r="AD284" i="2"/>
  <c r="AD285" i="2"/>
  <c r="AD286" i="2"/>
  <c r="AD287" i="2"/>
  <c r="AD288" i="2"/>
  <c r="AD289" i="2"/>
  <c r="AD290" i="2"/>
  <c r="AD291" i="2"/>
  <c r="AD292" i="2"/>
  <c r="AD293" i="2"/>
  <c r="AD294" i="2"/>
  <c r="AD295" i="2"/>
  <c r="AD296" i="2"/>
  <c r="AD297" i="2"/>
  <c r="AD298" i="2"/>
  <c r="AD299" i="2"/>
  <c r="AD300" i="2"/>
  <c r="AD301" i="2"/>
  <c r="AD302" i="2"/>
  <c r="AD303" i="2"/>
  <c r="AD304" i="2"/>
  <c r="AD305" i="2"/>
  <c r="AD306" i="2"/>
  <c r="AD307" i="2"/>
  <c r="AD308" i="2"/>
  <c r="AD309" i="2"/>
  <c r="AD310" i="2"/>
  <c r="AD311" i="2"/>
  <c r="AD312" i="2"/>
  <c r="AD313" i="2"/>
  <c r="AD314" i="2"/>
  <c r="AD315" i="2"/>
  <c r="AD316" i="2"/>
  <c r="AD317" i="2"/>
  <c r="AD318" i="2"/>
  <c r="AD319" i="2"/>
  <c r="AD320" i="2"/>
  <c r="AD321" i="2"/>
  <c r="AD322" i="2"/>
  <c r="AD323" i="2"/>
  <c r="AD324" i="2"/>
  <c r="AD325" i="2"/>
  <c r="AD326" i="2"/>
  <c r="AD327" i="2"/>
  <c r="AD328" i="2"/>
  <c r="AD329" i="2"/>
  <c r="AD330" i="2"/>
  <c r="AD331" i="2"/>
  <c r="AD332" i="2"/>
  <c r="AD333" i="2"/>
  <c r="AD334" i="2"/>
  <c r="AD335" i="2"/>
  <c r="AD336" i="2"/>
  <c r="AD337" i="2"/>
  <c r="AD338" i="2"/>
  <c r="AD339" i="2"/>
  <c r="AD340" i="2"/>
  <c r="AD341" i="2"/>
  <c r="AD342" i="2"/>
  <c r="AD343" i="2"/>
  <c r="AD344" i="2"/>
  <c r="AD345" i="2"/>
  <c r="AD346" i="2"/>
  <c r="AD347" i="2"/>
  <c r="AD348" i="2"/>
  <c r="AD349" i="2"/>
  <c r="AD350" i="2"/>
  <c r="AD351" i="2"/>
  <c r="AD352" i="2"/>
  <c r="AD353" i="2"/>
  <c r="AD354" i="2"/>
  <c r="AD355" i="2"/>
  <c r="AD356" i="2"/>
  <c r="AD357" i="2"/>
  <c r="AD358" i="2"/>
  <c r="AD359" i="2"/>
  <c r="AD360" i="2"/>
  <c r="AD361" i="2"/>
  <c r="AD362" i="2"/>
  <c r="AD363" i="2"/>
  <c r="AD364" i="2"/>
  <c r="AD365" i="2"/>
  <c r="AD366" i="2"/>
  <c r="AD367" i="2"/>
  <c r="AD368" i="2"/>
  <c r="AD369" i="2"/>
  <c r="AD370" i="2"/>
  <c r="AD371" i="2"/>
  <c r="AD372" i="2"/>
  <c r="AD373" i="2"/>
  <c r="AD374" i="2"/>
  <c r="AD375" i="2"/>
  <c r="AD376" i="2"/>
  <c r="AD377" i="2"/>
  <c r="AD378" i="2"/>
  <c r="AD379" i="2"/>
  <c r="AD380" i="2"/>
  <c r="AD381" i="2"/>
  <c r="AD382" i="2"/>
  <c r="AD383" i="2"/>
  <c r="AD384" i="2"/>
  <c r="AD385" i="2"/>
  <c r="AD386" i="2"/>
  <c r="AD387" i="2"/>
  <c r="AD388" i="2"/>
  <c r="AD389" i="2"/>
  <c r="AD390" i="2"/>
  <c r="AD391" i="2"/>
  <c r="AD392" i="2"/>
  <c r="AD393" i="2"/>
  <c r="AD394" i="2"/>
  <c r="AD395" i="2"/>
  <c r="AD396" i="2"/>
  <c r="AD397" i="2"/>
  <c r="AD398" i="2"/>
  <c r="AD399" i="2"/>
  <c r="AD400" i="2"/>
  <c r="AD401" i="2"/>
  <c r="AD402" i="2"/>
  <c r="AD403" i="2"/>
  <c r="AD404" i="2"/>
  <c r="AD405" i="2"/>
  <c r="AD406" i="2"/>
  <c r="AD407" i="2"/>
  <c r="AD408" i="2"/>
  <c r="AD409" i="2"/>
  <c r="AD410" i="2"/>
  <c r="AD411" i="2"/>
  <c r="AD412" i="2"/>
  <c r="AD413" i="2"/>
  <c r="AD414" i="2"/>
  <c r="AD415" i="2"/>
  <c r="AD416" i="2"/>
  <c r="AD417" i="2"/>
  <c r="AD418" i="2"/>
  <c r="AD419" i="2"/>
  <c r="AD420" i="2"/>
  <c r="AD421" i="2"/>
  <c r="AD422" i="2"/>
  <c r="AD423" i="2"/>
  <c r="AD424" i="2"/>
  <c r="AD425" i="2"/>
  <c r="AD426" i="2"/>
  <c r="AD427" i="2"/>
  <c r="AD428" i="2"/>
  <c r="AD429" i="2"/>
  <c r="AD430" i="2"/>
  <c r="AD431" i="2"/>
  <c r="AD432" i="2"/>
  <c r="AD433" i="2"/>
  <c r="AD434" i="2"/>
  <c r="AD435" i="2"/>
  <c r="AD436" i="2"/>
  <c r="AD437" i="2"/>
  <c r="AD438" i="2"/>
  <c r="AD439" i="2"/>
  <c r="AD440" i="2"/>
  <c r="AD441" i="2"/>
  <c r="AD442" i="2"/>
  <c r="AD443" i="2"/>
  <c r="AD444" i="2"/>
  <c r="AD445" i="2"/>
  <c r="AD446" i="2"/>
  <c r="AD447" i="2"/>
  <c r="AD448" i="2"/>
  <c r="AD449" i="2"/>
  <c r="AD450" i="2"/>
  <c r="AD451" i="2"/>
  <c r="AD452" i="2"/>
  <c r="AD453" i="2"/>
  <c r="AD454" i="2"/>
  <c r="AD455" i="2"/>
  <c r="AD456" i="2"/>
  <c r="AD457" i="2"/>
  <c r="AD458" i="2"/>
  <c r="AD459" i="2"/>
  <c r="AD460" i="2"/>
  <c r="AD461" i="2"/>
  <c r="AD462" i="2"/>
  <c r="AD463" i="2"/>
  <c r="AD464" i="2"/>
  <c r="AD465" i="2"/>
  <c r="AD466" i="2"/>
  <c r="AD467" i="2"/>
  <c r="AD468" i="2"/>
  <c r="AD469" i="2"/>
  <c r="AD470" i="2"/>
  <c r="AD471" i="2"/>
  <c r="AD472" i="2"/>
  <c r="AD473" i="2"/>
  <c r="AD474" i="2"/>
  <c r="AD475" i="2"/>
  <c r="AD476" i="2"/>
  <c r="AD477" i="2"/>
  <c r="AD478" i="2"/>
  <c r="AD479" i="2"/>
  <c r="AD480" i="2"/>
  <c r="AD481" i="2"/>
  <c r="AD482" i="2"/>
  <c r="AD483" i="2"/>
  <c r="AD484" i="2"/>
  <c r="AD485" i="2"/>
  <c r="AD486" i="2"/>
  <c r="AD487" i="2"/>
  <c r="AD488" i="2"/>
  <c r="AD489" i="2"/>
  <c r="AD490" i="2"/>
  <c r="AD491" i="2"/>
  <c r="AD492" i="2"/>
  <c r="AD493" i="2"/>
  <c r="AD494" i="2"/>
  <c r="AD495" i="2"/>
  <c r="AD496" i="2"/>
  <c r="AD497" i="2"/>
  <c r="AD498" i="2"/>
  <c r="AD499" i="2"/>
  <c r="AD500" i="2"/>
  <c r="AD501" i="2"/>
  <c r="AD502" i="2"/>
  <c r="AD503" i="2"/>
  <c r="AD504" i="2"/>
  <c r="AD505" i="2"/>
  <c r="AD506" i="2"/>
  <c r="AD507" i="2"/>
  <c r="AD508" i="2"/>
  <c r="AD509" i="2"/>
  <c r="AD510" i="2"/>
  <c r="AD511" i="2"/>
  <c r="AD512" i="2"/>
  <c r="AD513" i="2"/>
  <c r="AD514" i="2"/>
  <c r="AD515" i="2"/>
  <c r="AD516" i="2"/>
  <c r="AD517" i="2"/>
  <c r="AD518" i="2"/>
  <c r="AD519" i="2"/>
  <c r="AD520" i="2"/>
  <c r="AD521" i="2"/>
  <c r="AD522" i="2"/>
  <c r="AD523" i="2"/>
  <c r="AD524" i="2"/>
  <c r="AD525" i="2"/>
  <c r="AD526" i="2"/>
  <c r="AD527" i="2"/>
  <c r="AD528" i="2"/>
  <c r="AD529" i="2"/>
  <c r="AD530" i="2"/>
  <c r="AD531" i="2"/>
  <c r="AD532" i="2"/>
  <c r="AD533" i="2"/>
  <c r="AD534" i="2"/>
  <c r="AD535" i="2"/>
  <c r="AD536" i="2"/>
  <c r="AD537" i="2"/>
  <c r="AD538" i="2"/>
  <c r="AD539" i="2"/>
  <c r="AD540" i="2"/>
  <c r="AD541" i="2"/>
  <c r="AD542" i="2"/>
  <c r="AD543" i="2"/>
  <c r="AD544" i="2"/>
  <c r="AD545" i="2"/>
  <c r="AD546" i="2"/>
  <c r="AD547" i="2"/>
  <c r="AD548" i="2"/>
  <c r="AD549" i="2"/>
  <c r="AD550" i="2"/>
  <c r="AD551" i="2"/>
  <c r="AC29" i="2"/>
  <c r="AC31" i="2"/>
  <c r="AC33" i="2"/>
  <c r="AC34" i="2"/>
  <c r="AC36" i="2"/>
  <c r="AC37" i="2"/>
  <c r="AC38" i="2"/>
  <c r="AC40" i="2"/>
  <c r="AC43" i="2"/>
  <c r="AC45" i="2"/>
  <c r="AC53" i="2"/>
  <c r="AC56" i="2"/>
  <c r="AC362" i="2"/>
  <c r="AC364" i="2"/>
  <c r="AC371" i="2"/>
  <c r="AC379" i="2"/>
  <c r="AC383" i="2"/>
  <c r="AC397" i="2"/>
  <c r="AC399" i="2"/>
  <c r="AC475" i="2"/>
  <c r="AC476" i="2"/>
  <c r="AC478" i="2"/>
  <c r="AC480" i="2"/>
  <c r="AC481" i="2"/>
  <c r="AC482" i="2"/>
  <c r="AC484" i="2"/>
  <c r="AC485" i="2"/>
  <c r="AC486" i="2"/>
  <c r="AC488" i="2"/>
  <c r="AC489" i="2"/>
  <c r="AC490" i="2"/>
  <c r="AC492" i="2"/>
  <c r="AC493" i="2"/>
  <c r="AC494" i="2"/>
  <c r="AC496" i="2"/>
  <c r="AC497" i="2"/>
  <c r="AC498" i="2"/>
  <c r="AC500" i="2"/>
  <c r="AC501" i="2"/>
  <c r="AC502" i="2"/>
  <c r="AC504" i="2"/>
  <c r="AC505" i="2"/>
  <c r="AC506" i="2"/>
  <c r="AC508" i="2"/>
  <c r="AC509" i="2"/>
  <c r="AC510" i="2"/>
  <c r="AC512" i="2"/>
  <c r="AC514" i="2"/>
  <c r="AC519" i="2"/>
  <c r="AC520" i="2"/>
  <c r="AC521" i="2"/>
  <c r="AC523" i="2"/>
  <c r="AC526" i="2"/>
  <c r="AC529" i="2"/>
  <c r="AC533" i="2"/>
  <c r="AC535" i="2"/>
  <c r="AC537" i="2"/>
  <c r="AB24" i="2"/>
  <c r="AB29" i="2"/>
  <c r="AB31" i="2"/>
  <c r="AB33" i="2"/>
  <c r="AB34" i="2"/>
  <c r="AB36" i="2"/>
  <c r="AB37" i="2"/>
  <c r="AB38" i="2"/>
  <c r="AB40" i="2"/>
  <c r="AB41" i="2"/>
  <c r="AB43" i="2"/>
  <c r="AB45" i="2"/>
  <c r="AB51" i="2"/>
  <c r="AB53" i="2"/>
  <c r="AB54" i="2"/>
  <c r="AB56" i="2"/>
  <c r="AB362" i="2"/>
  <c r="AB364" i="2"/>
  <c r="AB371" i="2"/>
  <c r="AB379" i="2"/>
  <c r="AB383" i="2"/>
  <c r="AB397" i="2"/>
  <c r="AB399" i="2"/>
  <c r="AB475" i="2"/>
  <c r="AB476" i="2"/>
  <c r="AB478" i="2"/>
  <c r="AB480" i="2"/>
  <c r="AB481" i="2"/>
  <c r="AB482" i="2"/>
  <c r="AB484" i="2"/>
  <c r="AB485" i="2"/>
  <c r="AB486" i="2"/>
  <c r="AB488" i="2"/>
  <c r="AB489" i="2"/>
  <c r="AB490" i="2"/>
  <c r="AB492" i="2"/>
  <c r="AB493" i="2"/>
  <c r="AB494" i="2"/>
  <c r="AB496" i="2"/>
  <c r="AB497" i="2"/>
  <c r="AB498" i="2"/>
  <c r="AB500" i="2"/>
  <c r="AB501" i="2"/>
  <c r="AB502" i="2"/>
  <c r="AB504" i="2"/>
  <c r="AB505" i="2"/>
  <c r="AB506" i="2"/>
  <c r="AB508" i="2"/>
  <c r="AB509" i="2"/>
  <c r="AB510" i="2"/>
  <c r="AB512" i="2"/>
  <c r="AB514" i="2"/>
  <c r="AB519" i="2"/>
  <c r="AB520" i="2"/>
  <c r="AB521" i="2"/>
  <c r="AB523" i="2"/>
  <c r="AB526" i="2"/>
  <c r="AB529" i="2"/>
  <c r="AB533" i="2"/>
  <c r="AB535" i="2"/>
  <c r="AB537" i="2"/>
  <c r="AA22" i="2"/>
  <c r="AA25" i="2"/>
  <c r="AA26" i="2"/>
  <c r="AA27" i="2"/>
  <c r="AA28" i="2"/>
  <c r="AA30" i="2"/>
  <c r="AA32" i="2"/>
  <c r="AA35" i="2"/>
  <c r="AA42" i="2"/>
  <c r="AA44" i="2"/>
  <c r="AA46" i="2"/>
  <c r="AA47" i="2"/>
  <c r="AA48" i="2"/>
  <c r="AA49" i="2"/>
  <c r="AA55" i="2"/>
  <c r="U54" i="2"/>
  <c r="T54" i="2"/>
  <c r="S54" i="2"/>
  <c r="U52" i="2"/>
  <c r="T52" i="2"/>
  <c r="U51" i="2"/>
  <c r="T51" i="2"/>
  <c r="U50" i="2"/>
  <c r="T50" i="2"/>
  <c r="S44" i="2"/>
  <c r="U41" i="2"/>
  <c r="T41" i="2"/>
  <c r="U39" i="2"/>
  <c r="T39" i="2"/>
  <c r="S39" i="2"/>
  <c r="S34" i="2"/>
  <c r="U24" i="2"/>
  <c r="T24" i="2"/>
  <c r="U23" i="2"/>
  <c r="T23"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AA86" i="2"/>
  <c r="AA50" i="2" l="1"/>
  <c r="AB50" i="2" s="1"/>
  <c r="AA52" i="2"/>
  <c r="AB52" i="2" s="1"/>
  <c r="AA23" i="2"/>
  <c r="AB23" i="2" s="1"/>
  <c r="AA39" i="2"/>
  <c r="AB39" i="2" s="1"/>
  <c r="AC86" i="2"/>
  <c r="AB86" i="2"/>
  <c r="AC50" i="2"/>
  <c r="AE50" i="2"/>
  <c r="AE51" i="2"/>
  <c r="AC51" i="2"/>
  <c r="AC52" i="2"/>
  <c r="AE52" i="2"/>
  <c r="AC55" i="2"/>
  <c r="AB55" i="2"/>
  <c r="AC48" i="2"/>
  <c r="AB48" i="2"/>
  <c r="AC46" i="2"/>
  <c r="AB46" i="2"/>
  <c r="AC42" i="2"/>
  <c r="AB42" i="2"/>
  <c r="AC35" i="2"/>
  <c r="AB35" i="2"/>
  <c r="AC30" i="2"/>
  <c r="AB30" i="2"/>
  <c r="AC27" i="2"/>
  <c r="AB27" i="2"/>
  <c r="AC25" i="2"/>
  <c r="AB25" i="2"/>
  <c r="AC22" i="2"/>
  <c r="AB22" i="2"/>
  <c r="AE23" i="2"/>
  <c r="AC24" i="2"/>
  <c r="AE24" i="2"/>
  <c r="AE39" i="2"/>
  <c r="AC39" i="2"/>
  <c r="AE41" i="2"/>
  <c r="AC41" i="2"/>
  <c r="AC54" i="2"/>
  <c r="AE54" i="2"/>
  <c r="AC49" i="2"/>
  <c r="AB49" i="2"/>
  <c r="AC47" i="2"/>
  <c r="AB47" i="2"/>
  <c r="AC44" i="2"/>
  <c r="AB44" i="2"/>
  <c r="AC32" i="2"/>
  <c r="AB32" i="2"/>
  <c r="AC28" i="2"/>
  <c r="AB28" i="2"/>
  <c r="AC26" i="2"/>
  <c r="AB26" i="2"/>
  <c r="AA215" i="2"/>
  <c r="AC23" i="2" l="1"/>
  <c r="AC215" i="2"/>
  <c r="AB215" i="2"/>
  <c r="AA3" i="2"/>
  <c r="AA4" i="2"/>
  <c r="AF4" i="2" s="1"/>
  <c r="AA5" i="2"/>
  <c r="AA6" i="2"/>
  <c r="AA7" i="2"/>
  <c r="AA8" i="2"/>
  <c r="AA9" i="2"/>
  <c r="AA10" i="2"/>
  <c r="AA11" i="2"/>
  <c r="AA12" i="2"/>
  <c r="AA13" i="2"/>
  <c r="AA14" i="2"/>
  <c r="AA15" i="2"/>
  <c r="AA16" i="2"/>
  <c r="AA17" i="2"/>
  <c r="AA18" i="2"/>
  <c r="AA19" i="2"/>
  <c r="AA20" i="2"/>
  <c r="AA21" i="2"/>
  <c r="AA57" i="2"/>
  <c r="AA58" i="2"/>
  <c r="AA59" i="2"/>
  <c r="AA60" i="2"/>
  <c r="AA61" i="2"/>
  <c r="AA62" i="2"/>
  <c r="AA63" i="2"/>
  <c r="AA64" i="2"/>
  <c r="AA65" i="2"/>
  <c r="AA66" i="2"/>
  <c r="AA67" i="2"/>
  <c r="AA68" i="2"/>
  <c r="AA69" i="2"/>
  <c r="AA70" i="2"/>
  <c r="AA71" i="2"/>
  <c r="AA72" i="2"/>
  <c r="AA73" i="2"/>
  <c r="AA74" i="2"/>
  <c r="AA75" i="2"/>
  <c r="AA76" i="2"/>
  <c r="AA77" i="2"/>
  <c r="AA78" i="2"/>
  <c r="AA79" i="2"/>
  <c r="AA80" i="2"/>
  <c r="AA81" i="2"/>
  <c r="AA82" i="2"/>
  <c r="AA83" i="2"/>
  <c r="AA84" i="2"/>
  <c r="AA85" i="2"/>
  <c r="AA87" i="2"/>
  <c r="AA88" i="2"/>
  <c r="AA89" i="2"/>
  <c r="AA90" i="2"/>
  <c r="AA91" i="2"/>
  <c r="AA92" i="2"/>
  <c r="AA93" i="2"/>
  <c r="AA94" i="2"/>
  <c r="AA95" i="2"/>
  <c r="AA96" i="2"/>
  <c r="AA97" i="2"/>
  <c r="AA98" i="2"/>
  <c r="AA99" i="2"/>
  <c r="AA100" i="2"/>
  <c r="AA101" i="2"/>
  <c r="AA102" i="2"/>
  <c r="AA103" i="2"/>
  <c r="AA104" i="2"/>
  <c r="AA105" i="2"/>
  <c r="AA106" i="2"/>
  <c r="AA107" i="2"/>
  <c r="AA108" i="2"/>
  <c r="AA109" i="2"/>
  <c r="AA110" i="2"/>
  <c r="AA111" i="2"/>
  <c r="AA112" i="2"/>
  <c r="AA113" i="2"/>
  <c r="AA114" i="2"/>
  <c r="AA115" i="2"/>
  <c r="AA116" i="2"/>
  <c r="AA117" i="2"/>
  <c r="AA118" i="2"/>
  <c r="AA119" i="2"/>
  <c r="AA120" i="2"/>
  <c r="AA121" i="2"/>
  <c r="AA122" i="2"/>
  <c r="AA123" i="2"/>
  <c r="AA124" i="2"/>
  <c r="AA125" i="2"/>
  <c r="AA126" i="2"/>
  <c r="AA127" i="2"/>
  <c r="AA128" i="2"/>
  <c r="AA129" i="2"/>
  <c r="AA130" i="2"/>
  <c r="AA131" i="2"/>
  <c r="AA132" i="2"/>
  <c r="AA133" i="2"/>
  <c r="AA134" i="2"/>
  <c r="AA135" i="2"/>
  <c r="AA136" i="2"/>
  <c r="AA137" i="2"/>
  <c r="AA138" i="2"/>
  <c r="AA142" i="2"/>
  <c r="AA146" i="2"/>
  <c r="AA147" i="2"/>
  <c r="AA148" i="2"/>
  <c r="AA149" i="2"/>
  <c r="AA150" i="2"/>
  <c r="AA151" i="2"/>
  <c r="AA152" i="2"/>
  <c r="AA153" i="2"/>
  <c r="AA154" i="2"/>
  <c r="AA155" i="2"/>
  <c r="AA156" i="2"/>
  <c r="AA157" i="2"/>
  <c r="AA158" i="2"/>
  <c r="AA159" i="2"/>
  <c r="AA160" i="2"/>
  <c r="AA162" i="2"/>
  <c r="AA163" i="2"/>
  <c r="AA166" i="2"/>
  <c r="AA167" i="2"/>
  <c r="AA170" i="2"/>
  <c r="AA171" i="2"/>
  <c r="AA172" i="2"/>
  <c r="AA173" i="2"/>
  <c r="AA174" i="2"/>
  <c r="AA176" i="2"/>
  <c r="AA177" i="2"/>
  <c r="AA180" i="2"/>
  <c r="AA181" i="2"/>
  <c r="AA182" i="2"/>
  <c r="AA184" i="2"/>
  <c r="AA187" i="2"/>
  <c r="AA188" i="2"/>
  <c r="AA191" i="2"/>
  <c r="AF191" i="2" s="1"/>
  <c r="AA192" i="2"/>
  <c r="AA193" i="2"/>
  <c r="AA195" i="2"/>
  <c r="AA197" i="2"/>
  <c r="AA199" i="2"/>
  <c r="AA200" i="2"/>
  <c r="AA202" i="2"/>
  <c r="AA204" i="2"/>
  <c r="AA205" i="2"/>
  <c r="AA206" i="2"/>
  <c r="AA207" i="2"/>
  <c r="AA210" i="2"/>
  <c r="AA211" i="2"/>
  <c r="AA212" i="2"/>
  <c r="AA213" i="2"/>
  <c r="AA214" i="2"/>
  <c r="AF215" i="2"/>
  <c r="AA216" i="2"/>
  <c r="AA217" i="2"/>
  <c r="AA218" i="2"/>
  <c r="AA219" i="2"/>
  <c r="AA220" i="2"/>
  <c r="AA221" i="2"/>
  <c r="AA222" i="2"/>
  <c r="AA223" i="2"/>
  <c r="AA224" i="2"/>
  <c r="AA225" i="2"/>
  <c r="AA226" i="2"/>
  <c r="AA227" i="2"/>
  <c r="AA228" i="2"/>
  <c r="AA229" i="2"/>
  <c r="AA230" i="2"/>
  <c r="AA231" i="2"/>
  <c r="AA232" i="2"/>
  <c r="AA233" i="2"/>
  <c r="AA234" i="2"/>
  <c r="AA235" i="2"/>
  <c r="AA236" i="2"/>
  <c r="AA237" i="2"/>
  <c r="AA238" i="2"/>
  <c r="AA239" i="2"/>
  <c r="AA240" i="2"/>
  <c r="AA241" i="2"/>
  <c r="AA242" i="2"/>
  <c r="AA243" i="2"/>
  <c r="AA244" i="2"/>
  <c r="AF244" i="2" s="1"/>
  <c r="AA245" i="2"/>
  <c r="AA246" i="2"/>
  <c r="AA247" i="2"/>
  <c r="AA248" i="2"/>
  <c r="AA249" i="2"/>
  <c r="AA250" i="2"/>
  <c r="AA251" i="2"/>
  <c r="AA252" i="2"/>
  <c r="AA253" i="2"/>
  <c r="AA254" i="2"/>
  <c r="AA255" i="2"/>
  <c r="AA256" i="2"/>
  <c r="AA257" i="2"/>
  <c r="AA258" i="2"/>
  <c r="AA259" i="2"/>
  <c r="AA260" i="2"/>
  <c r="AA261" i="2"/>
  <c r="AA262" i="2"/>
  <c r="AA263" i="2"/>
  <c r="AA264" i="2"/>
  <c r="AA265" i="2"/>
  <c r="AA266" i="2"/>
  <c r="AA267" i="2"/>
  <c r="AA268" i="2"/>
  <c r="AA269" i="2"/>
  <c r="AA270" i="2"/>
  <c r="AA271" i="2"/>
  <c r="AA272" i="2"/>
  <c r="AA273" i="2"/>
  <c r="AA274" i="2"/>
  <c r="AA275" i="2"/>
  <c r="AA276" i="2"/>
  <c r="AA277" i="2"/>
  <c r="AA278" i="2"/>
  <c r="AA279" i="2"/>
  <c r="AA280" i="2"/>
  <c r="AA281" i="2"/>
  <c r="AA282" i="2"/>
  <c r="AA283" i="2"/>
  <c r="AA284" i="2"/>
  <c r="AA285" i="2"/>
  <c r="AA286" i="2"/>
  <c r="AA287" i="2"/>
  <c r="AA288" i="2"/>
  <c r="AA289" i="2"/>
  <c r="AA290" i="2"/>
  <c r="AA291" i="2"/>
  <c r="AA292" i="2"/>
  <c r="AA293" i="2"/>
  <c r="AA294" i="2"/>
  <c r="AA295" i="2"/>
  <c r="AA296" i="2"/>
  <c r="AA297" i="2"/>
  <c r="AA298" i="2"/>
  <c r="AA299" i="2"/>
  <c r="AA300" i="2"/>
  <c r="AA301" i="2"/>
  <c r="AA302" i="2"/>
  <c r="AA303" i="2"/>
  <c r="AA304" i="2"/>
  <c r="AA305" i="2"/>
  <c r="AA306" i="2"/>
  <c r="AA307" i="2"/>
  <c r="AA308" i="2"/>
  <c r="AA309" i="2"/>
  <c r="AA310" i="2"/>
  <c r="AA311" i="2"/>
  <c r="AA312" i="2"/>
  <c r="AA313" i="2"/>
  <c r="AA314" i="2"/>
  <c r="AA315" i="2"/>
  <c r="AA316" i="2"/>
  <c r="AA317" i="2"/>
  <c r="AA318" i="2"/>
  <c r="AA319" i="2"/>
  <c r="AA320" i="2"/>
  <c r="AA321" i="2"/>
  <c r="AA322" i="2"/>
  <c r="AA323" i="2"/>
  <c r="AA324" i="2"/>
  <c r="AA325" i="2"/>
  <c r="AA326" i="2"/>
  <c r="AA327" i="2"/>
  <c r="AA328" i="2"/>
  <c r="AA329" i="2"/>
  <c r="AA330" i="2"/>
  <c r="AA331" i="2"/>
  <c r="AA332" i="2"/>
  <c r="AA333" i="2"/>
  <c r="AA334" i="2"/>
  <c r="AA335" i="2"/>
  <c r="AA336" i="2"/>
  <c r="AA337" i="2"/>
  <c r="AA338" i="2"/>
  <c r="AA339" i="2"/>
  <c r="AA340" i="2"/>
  <c r="AA341" i="2"/>
  <c r="AA342" i="2"/>
  <c r="AA343" i="2"/>
  <c r="AA344" i="2"/>
  <c r="AA345" i="2"/>
  <c r="AA346" i="2"/>
  <c r="AA347" i="2"/>
  <c r="AA348" i="2"/>
  <c r="AA349" i="2"/>
  <c r="AA350" i="2"/>
  <c r="AA351" i="2"/>
  <c r="AA352" i="2"/>
  <c r="AA353" i="2"/>
  <c r="AA354" i="2"/>
  <c r="AA355" i="2"/>
  <c r="AA356" i="2"/>
  <c r="AA357" i="2"/>
  <c r="AA358" i="2"/>
  <c r="AA359" i="2"/>
  <c r="AA360" i="2"/>
  <c r="AA361" i="2"/>
  <c r="AA363" i="2"/>
  <c r="AA365" i="2"/>
  <c r="AA366" i="2"/>
  <c r="AA367" i="2"/>
  <c r="AA368" i="2"/>
  <c r="AA369" i="2"/>
  <c r="AA370" i="2"/>
  <c r="AA372" i="2"/>
  <c r="AA373" i="2"/>
  <c r="AA374" i="2"/>
  <c r="AA375" i="2"/>
  <c r="AA376" i="2"/>
  <c r="AA377" i="2"/>
  <c r="AA378" i="2"/>
  <c r="AA380" i="2"/>
  <c r="AA381" i="2"/>
  <c r="AA382" i="2"/>
  <c r="AA384" i="2"/>
  <c r="AA385" i="2"/>
  <c r="AA386" i="2"/>
  <c r="AA387" i="2"/>
  <c r="AA388" i="2"/>
  <c r="AA389" i="2"/>
  <c r="AA390" i="2"/>
  <c r="AA391" i="2"/>
  <c r="AA392" i="2"/>
  <c r="AA393" i="2"/>
  <c r="AA394" i="2"/>
  <c r="AA395" i="2"/>
  <c r="AA396" i="2"/>
  <c r="AA398" i="2"/>
  <c r="AA400" i="2"/>
  <c r="AA401" i="2"/>
  <c r="AA402" i="2"/>
  <c r="AA403" i="2"/>
  <c r="AA404" i="2"/>
  <c r="AA405" i="2"/>
  <c r="AA406" i="2"/>
  <c r="AA407" i="2"/>
  <c r="AA408" i="2"/>
  <c r="AA409" i="2"/>
  <c r="AA410" i="2"/>
  <c r="AA411" i="2"/>
  <c r="AA412" i="2"/>
  <c r="AA413" i="2"/>
  <c r="AA414" i="2"/>
  <c r="AA415" i="2"/>
  <c r="AA416" i="2"/>
  <c r="AA417" i="2"/>
  <c r="AA418" i="2"/>
  <c r="AA419" i="2"/>
  <c r="AA420" i="2"/>
  <c r="AA421" i="2"/>
  <c r="AA422" i="2"/>
  <c r="AA423" i="2"/>
  <c r="AA424" i="2"/>
  <c r="AA425" i="2"/>
  <c r="AA426" i="2"/>
  <c r="AA427" i="2"/>
  <c r="AA428" i="2"/>
  <c r="AA429" i="2"/>
  <c r="AA430" i="2"/>
  <c r="AA431" i="2"/>
  <c r="AA432" i="2"/>
  <c r="AA433" i="2"/>
  <c r="AA434" i="2"/>
  <c r="AA435" i="2"/>
  <c r="AA436" i="2"/>
  <c r="AA437" i="2"/>
  <c r="AA438" i="2"/>
  <c r="AA439" i="2"/>
  <c r="AA440" i="2"/>
  <c r="AA441" i="2"/>
  <c r="AA442" i="2"/>
  <c r="AA443" i="2"/>
  <c r="AA444" i="2"/>
  <c r="AA445" i="2"/>
  <c r="AA446" i="2"/>
  <c r="AA447" i="2"/>
  <c r="AA448" i="2"/>
  <c r="AA449" i="2"/>
  <c r="AA450" i="2"/>
  <c r="AA451" i="2"/>
  <c r="AA452" i="2"/>
  <c r="AA453" i="2"/>
  <c r="AA454" i="2"/>
  <c r="AA455" i="2"/>
  <c r="AA456" i="2"/>
  <c r="AA457" i="2"/>
  <c r="AA458" i="2"/>
  <c r="AA459" i="2"/>
  <c r="AA460" i="2"/>
  <c r="AA461" i="2"/>
  <c r="AA462" i="2"/>
  <c r="AA463" i="2"/>
  <c r="AA464" i="2"/>
  <c r="AA465" i="2"/>
  <c r="AA466" i="2"/>
  <c r="AA467" i="2"/>
  <c r="AA468" i="2"/>
  <c r="AA469" i="2"/>
  <c r="AA470" i="2"/>
  <c r="AA471" i="2"/>
  <c r="AA472" i="2"/>
  <c r="AA473" i="2"/>
  <c r="AA474" i="2"/>
  <c r="AA477" i="2"/>
  <c r="AA479" i="2"/>
  <c r="AA483" i="2"/>
  <c r="AA487" i="2"/>
  <c r="AA491" i="2"/>
  <c r="AA495" i="2"/>
  <c r="AA499" i="2"/>
  <c r="AA503" i="2"/>
  <c r="AA507" i="2"/>
  <c r="AA511" i="2"/>
  <c r="AA513" i="2"/>
  <c r="AA515" i="2"/>
  <c r="AA516" i="2"/>
  <c r="AA517" i="2"/>
  <c r="AA518" i="2"/>
  <c r="AA522" i="2"/>
  <c r="AA524" i="2"/>
  <c r="AA525" i="2"/>
  <c r="AA527" i="2"/>
  <c r="AA528" i="2"/>
  <c r="AA530" i="2"/>
  <c r="AA531" i="2"/>
  <c r="AA532" i="2"/>
  <c r="AA534" i="2"/>
  <c r="AA536" i="2"/>
  <c r="AA538" i="2"/>
  <c r="AA539" i="2"/>
  <c r="AA540" i="2"/>
  <c r="AA541" i="2"/>
  <c r="AA542" i="2"/>
  <c r="AA543" i="2"/>
  <c r="AA544" i="2"/>
  <c r="AA545" i="2"/>
  <c r="AA546" i="2"/>
  <c r="AA547" i="2"/>
  <c r="AA548" i="2"/>
  <c r="AA549" i="2"/>
  <c r="AA550" i="2"/>
  <c r="AA551" i="2"/>
  <c r="AF3" i="2"/>
  <c r="AF180" i="2"/>
  <c r="J113" i="2"/>
  <c r="J102" i="2"/>
  <c r="AF5" i="2"/>
  <c r="AF7" i="2"/>
  <c r="AF9" i="2"/>
  <c r="AF11" i="2"/>
  <c r="AF13" i="2"/>
  <c r="AF15" i="2"/>
  <c r="AF17" i="2"/>
  <c r="AF19" i="2"/>
  <c r="AF21" i="2"/>
  <c r="AF58" i="2"/>
  <c r="AF60" i="2"/>
  <c r="AF62" i="2"/>
  <c r="AF64" i="2"/>
  <c r="AF66" i="2"/>
  <c r="AF68" i="2"/>
  <c r="AF70" i="2"/>
  <c r="AF72" i="2"/>
  <c r="AF74" i="2"/>
  <c r="AF76" i="2"/>
  <c r="AF78" i="2"/>
  <c r="AF80" i="2"/>
  <c r="AF82" i="2"/>
  <c r="AF84" i="2"/>
  <c r="AF86" i="2"/>
  <c r="AF142" i="2"/>
  <c r="AF187" i="2"/>
  <c r="AF193" i="2"/>
  <c r="AF308" i="2"/>
  <c r="AF372" i="2"/>
  <c r="AF384" i="2"/>
  <c r="AF386" i="2"/>
  <c r="AF388" i="2"/>
  <c r="AF390" i="2"/>
  <c r="AF392" i="2"/>
  <c r="AF394" i="2"/>
  <c r="AF400" i="2"/>
  <c r="AF402" i="2"/>
  <c r="AF404" i="2"/>
  <c r="AF406" i="2"/>
  <c r="AF410" i="2"/>
  <c r="AF414" i="2"/>
  <c r="AF418" i="2"/>
  <c r="AF422" i="2"/>
  <c r="AF426" i="2"/>
  <c r="AF430" i="2"/>
  <c r="AF434" i="2"/>
  <c r="AF446" i="2"/>
  <c r="AF454" i="2"/>
  <c r="AF462" i="2"/>
  <c r="AF470" i="2"/>
  <c r="AF487" i="2"/>
  <c r="AF515" i="2"/>
  <c r="AF528" i="2"/>
  <c r="AF540" i="2"/>
  <c r="AF548" i="2"/>
  <c r="AA145" i="2"/>
  <c r="AA144" i="2"/>
  <c r="AA141" i="2"/>
  <c r="AA140" i="2"/>
  <c r="AC140" i="2" l="1"/>
  <c r="AB140" i="2"/>
  <c r="AC141" i="2"/>
  <c r="AB141" i="2"/>
  <c r="AC145" i="2"/>
  <c r="AB145" i="2"/>
  <c r="AD102" i="2"/>
  <c r="AE102" i="2"/>
  <c r="AF551" i="2"/>
  <c r="AC551" i="2"/>
  <c r="AB551" i="2"/>
  <c r="AF549" i="2"/>
  <c r="AC549" i="2"/>
  <c r="AB549" i="2"/>
  <c r="AF547" i="2"/>
  <c r="AC547" i="2"/>
  <c r="AB547" i="2"/>
  <c r="AF545" i="2"/>
  <c r="AC545" i="2"/>
  <c r="AB545" i="2"/>
  <c r="AF543" i="2"/>
  <c r="AC543" i="2"/>
  <c r="AB543" i="2"/>
  <c r="AF541" i="2"/>
  <c r="AC541" i="2"/>
  <c r="AB541" i="2"/>
  <c r="AF539" i="2"/>
  <c r="AC539" i="2"/>
  <c r="AB539" i="2"/>
  <c r="AF536" i="2"/>
  <c r="AC536" i="2"/>
  <c r="AB536" i="2"/>
  <c r="AF532" i="2"/>
  <c r="AC532" i="2"/>
  <c r="AB532" i="2"/>
  <c r="AF530" i="2"/>
  <c r="AC530" i="2"/>
  <c r="AB530" i="2"/>
  <c r="AF527" i="2"/>
  <c r="AC527" i="2"/>
  <c r="AB527" i="2"/>
  <c r="AF524" i="2"/>
  <c r="AC524" i="2"/>
  <c r="AB524" i="2"/>
  <c r="AF518" i="2"/>
  <c r="AC518" i="2"/>
  <c r="AB518" i="2"/>
  <c r="AF516" i="2"/>
  <c r="AC516" i="2"/>
  <c r="AB516" i="2"/>
  <c r="AF513" i="2"/>
  <c r="AC513" i="2"/>
  <c r="AB513" i="2"/>
  <c r="AF507" i="2"/>
  <c r="AC507" i="2"/>
  <c r="AB507" i="2"/>
  <c r="AF499" i="2"/>
  <c r="AC499" i="2"/>
  <c r="AB499" i="2"/>
  <c r="AF491" i="2"/>
  <c r="AC491" i="2"/>
  <c r="AB491" i="2"/>
  <c r="AF483" i="2"/>
  <c r="AC483" i="2"/>
  <c r="AB483" i="2"/>
  <c r="AF477" i="2"/>
  <c r="AC477" i="2"/>
  <c r="AB477" i="2"/>
  <c r="AF473" i="2"/>
  <c r="AC473" i="2"/>
  <c r="AB473" i="2"/>
  <c r="AF471" i="2"/>
  <c r="AC471" i="2"/>
  <c r="AB471" i="2"/>
  <c r="AF469" i="2"/>
  <c r="AC469" i="2"/>
  <c r="AB469" i="2"/>
  <c r="AF467" i="2"/>
  <c r="AC467" i="2"/>
  <c r="AB467" i="2"/>
  <c r="AF465" i="2"/>
  <c r="AC465" i="2"/>
  <c r="AB465" i="2"/>
  <c r="AF463" i="2"/>
  <c r="AC463" i="2"/>
  <c r="AB463" i="2"/>
  <c r="AF461" i="2"/>
  <c r="AC461" i="2"/>
  <c r="AB461" i="2"/>
  <c r="AF459" i="2"/>
  <c r="AC459" i="2"/>
  <c r="AB459" i="2"/>
  <c r="AF457" i="2"/>
  <c r="AC457" i="2"/>
  <c r="AB457" i="2"/>
  <c r="AF455" i="2"/>
  <c r="AC455" i="2"/>
  <c r="AB455" i="2"/>
  <c r="AF453" i="2"/>
  <c r="AC453" i="2"/>
  <c r="AB453" i="2"/>
  <c r="AF451" i="2"/>
  <c r="AC451" i="2"/>
  <c r="AB451" i="2"/>
  <c r="AF449" i="2"/>
  <c r="AC449" i="2"/>
  <c r="AB449" i="2"/>
  <c r="AF447" i="2"/>
  <c r="AC447" i="2"/>
  <c r="AB447" i="2"/>
  <c r="AF445" i="2"/>
  <c r="AC445" i="2"/>
  <c r="AB445" i="2"/>
  <c r="AF443" i="2"/>
  <c r="AC443" i="2"/>
  <c r="AB443" i="2"/>
  <c r="AF441" i="2"/>
  <c r="AC441" i="2"/>
  <c r="AB441" i="2"/>
  <c r="AF439" i="2"/>
  <c r="AC439" i="2"/>
  <c r="AB439" i="2"/>
  <c r="AF437" i="2"/>
  <c r="AC437" i="2"/>
  <c r="AB437" i="2"/>
  <c r="AF435" i="2"/>
  <c r="AC435" i="2"/>
  <c r="AB435" i="2"/>
  <c r="AF433" i="2"/>
  <c r="AC433" i="2"/>
  <c r="AB433" i="2"/>
  <c r="AF431" i="2"/>
  <c r="AC431" i="2"/>
  <c r="AB431" i="2"/>
  <c r="AF429" i="2"/>
  <c r="AC429" i="2"/>
  <c r="AB429" i="2"/>
  <c r="AF427" i="2"/>
  <c r="AC427" i="2"/>
  <c r="AB427" i="2"/>
  <c r="AF425" i="2"/>
  <c r="AC425" i="2"/>
  <c r="AB425" i="2"/>
  <c r="AF423" i="2"/>
  <c r="AC423" i="2"/>
  <c r="AB423" i="2"/>
  <c r="AF421" i="2"/>
  <c r="AC421" i="2"/>
  <c r="AB421" i="2"/>
  <c r="AF419" i="2"/>
  <c r="AC419" i="2"/>
  <c r="AB419" i="2"/>
  <c r="AF417" i="2"/>
  <c r="AC417" i="2"/>
  <c r="AB417" i="2"/>
  <c r="AF415" i="2"/>
  <c r="AC415" i="2"/>
  <c r="AB415" i="2"/>
  <c r="AF413" i="2"/>
  <c r="AC413" i="2"/>
  <c r="AB413" i="2"/>
  <c r="AF411" i="2"/>
  <c r="AC411" i="2"/>
  <c r="AB411" i="2"/>
  <c r="AF409" i="2"/>
  <c r="AC409" i="2"/>
  <c r="AB409" i="2"/>
  <c r="AF407" i="2"/>
  <c r="AC407" i="2"/>
  <c r="AB407" i="2"/>
  <c r="AF405" i="2"/>
  <c r="AC405" i="2"/>
  <c r="AB405" i="2"/>
  <c r="AF403" i="2"/>
  <c r="AC403" i="2"/>
  <c r="AB403" i="2"/>
  <c r="AF401" i="2"/>
  <c r="AC401" i="2"/>
  <c r="AB401" i="2"/>
  <c r="AF398" i="2"/>
  <c r="AC398" i="2"/>
  <c r="AB398" i="2"/>
  <c r="AF395" i="2"/>
  <c r="AC395" i="2"/>
  <c r="AB395" i="2"/>
  <c r="AF393" i="2"/>
  <c r="AC393" i="2"/>
  <c r="AB393" i="2"/>
  <c r="AF391" i="2"/>
  <c r="AC391" i="2"/>
  <c r="AB391" i="2"/>
  <c r="AF389" i="2"/>
  <c r="AC389" i="2"/>
  <c r="AB389" i="2"/>
  <c r="AF387" i="2"/>
  <c r="AC387" i="2"/>
  <c r="AB387" i="2"/>
  <c r="AF385" i="2"/>
  <c r="AC385" i="2"/>
  <c r="AB385" i="2"/>
  <c r="AF382" i="2"/>
  <c r="AC382" i="2"/>
  <c r="AB382" i="2"/>
  <c r="AF380" i="2"/>
  <c r="AC380" i="2"/>
  <c r="AB380" i="2"/>
  <c r="AF377" i="2"/>
  <c r="AC377" i="2"/>
  <c r="AB377" i="2"/>
  <c r="AF375" i="2"/>
  <c r="AC375" i="2"/>
  <c r="AB375" i="2"/>
  <c r="AF373" i="2"/>
  <c r="AC373" i="2"/>
  <c r="AB373" i="2"/>
  <c r="AF370" i="2"/>
  <c r="AC370" i="2"/>
  <c r="AB370" i="2"/>
  <c r="AF368" i="2"/>
  <c r="AC368" i="2"/>
  <c r="AB368" i="2"/>
  <c r="AF366" i="2"/>
  <c r="AC366" i="2"/>
  <c r="AB366" i="2"/>
  <c r="AF363" i="2"/>
  <c r="AC363" i="2"/>
  <c r="AB363" i="2"/>
  <c r="AF360" i="2"/>
  <c r="AC360" i="2"/>
  <c r="AB360" i="2"/>
  <c r="AF358" i="2"/>
  <c r="AC358" i="2"/>
  <c r="AB358" i="2"/>
  <c r="AF356" i="2"/>
  <c r="AC356" i="2"/>
  <c r="AB356" i="2"/>
  <c r="AF354" i="2"/>
  <c r="AC354" i="2"/>
  <c r="AB354" i="2"/>
  <c r="AF352" i="2"/>
  <c r="AC352" i="2"/>
  <c r="AB352" i="2"/>
  <c r="AF350" i="2"/>
  <c r="AC350" i="2"/>
  <c r="AB350" i="2"/>
  <c r="AF348" i="2"/>
  <c r="AC348" i="2"/>
  <c r="AB348" i="2"/>
  <c r="AF346" i="2"/>
  <c r="AC346" i="2"/>
  <c r="AB346" i="2"/>
  <c r="AF344" i="2"/>
  <c r="AC344" i="2"/>
  <c r="AB344" i="2"/>
  <c r="AF342" i="2"/>
  <c r="AC342" i="2"/>
  <c r="AB342" i="2"/>
  <c r="AF340" i="2"/>
  <c r="AC340" i="2"/>
  <c r="AB340" i="2"/>
  <c r="AF338" i="2"/>
  <c r="AC338" i="2"/>
  <c r="AB338" i="2"/>
  <c r="AF336" i="2"/>
  <c r="AC336" i="2"/>
  <c r="AB336" i="2"/>
  <c r="AF334" i="2"/>
  <c r="AC334" i="2"/>
  <c r="AB334" i="2"/>
  <c r="AF332" i="2"/>
  <c r="AC332" i="2"/>
  <c r="AB332" i="2"/>
  <c r="AF330" i="2"/>
  <c r="AC330" i="2"/>
  <c r="AB330" i="2"/>
  <c r="AF328" i="2"/>
  <c r="AC328" i="2"/>
  <c r="AB328" i="2"/>
  <c r="AF326" i="2"/>
  <c r="AC326" i="2"/>
  <c r="AB326" i="2"/>
  <c r="AF324" i="2"/>
  <c r="AC324" i="2"/>
  <c r="AB324" i="2"/>
  <c r="AF322" i="2"/>
  <c r="AC322" i="2"/>
  <c r="AB322" i="2"/>
  <c r="AF320" i="2"/>
  <c r="AC320" i="2"/>
  <c r="AB320" i="2"/>
  <c r="AF318" i="2"/>
  <c r="AC318" i="2"/>
  <c r="AB318" i="2"/>
  <c r="AF316" i="2"/>
  <c r="AC316" i="2"/>
  <c r="AB316" i="2"/>
  <c r="AF314" i="2"/>
  <c r="AC314" i="2"/>
  <c r="AB314" i="2"/>
  <c r="AF312" i="2"/>
  <c r="AC312" i="2"/>
  <c r="AB312" i="2"/>
  <c r="AF310" i="2"/>
  <c r="AC310" i="2"/>
  <c r="AB310" i="2"/>
  <c r="AC308" i="2"/>
  <c r="AB308" i="2"/>
  <c r="AF306" i="2"/>
  <c r="AC306" i="2"/>
  <c r="AB306" i="2"/>
  <c r="AF304" i="2"/>
  <c r="AC304" i="2"/>
  <c r="AB304" i="2"/>
  <c r="AF302" i="2"/>
  <c r="AC302" i="2"/>
  <c r="AB302" i="2"/>
  <c r="AF300" i="2"/>
  <c r="AC300" i="2"/>
  <c r="AB300" i="2"/>
  <c r="AF298" i="2"/>
  <c r="AC298" i="2"/>
  <c r="AB298" i="2"/>
  <c r="AF296" i="2"/>
  <c r="AC296" i="2"/>
  <c r="AB296" i="2"/>
  <c r="AF294" i="2"/>
  <c r="AC294" i="2"/>
  <c r="AB294" i="2"/>
  <c r="AF292" i="2"/>
  <c r="AC292" i="2"/>
  <c r="AB292" i="2"/>
  <c r="AF290" i="2"/>
  <c r="AC290" i="2"/>
  <c r="AB290" i="2"/>
  <c r="AF288" i="2"/>
  <c r="AC288" i="2"/>
  <c r="AB288" i="2"/>
  <c r="AF286" i="2"/>
  <c r="AC286" i="2"/>
  <c r="AB286" i="2"/>
  <c r="AF284" i="2"/>
  <c r="AC284" i="2"/>
  <c r="AB284" i="2"/>
  <c r="AF282" i="2"/>
  <c r="AC282" i="2"/>
  <c r="AB282" i="2"/>
  <c r="AF280" i="2"/>
  <c r="AC280" i="2"/>
  <c r="AB280" i="2"/>
  <c r="AF278" i="2"/>
  <c r="AC278" i="2"/>
  <c r="AB278" i="2"/>
  <c r="AF276" i="2"/>
  <c r="AC276" i="2"/>
  <c r="AB276" i="2"/>
  <c r="AF274" i="2"/>
  <c r="AC274" i="2"/>
  <c r="AB274" i="2"/>
  <c r="AF272" i="2"/>
  <c r="AC272" i="2"/>
  <c r="AB272" i="2"/>
  <c r="AF270" i="2"/>
  <c r="AC270" i="2"/>
  <c r="AB270" i="2"/>
  <c r="AF268" i="2"/>
  <c r="AC268" i="2"/>
  <c r="AB268" i="2"/>
  <c r="AF266" i="2"/>
  <c r="AC266" i="2"/>
  <c r="AB266" i="2"/>
  <c r="AF264" i="2"/>
  <c r="AC264" i="2"/>
  <c r="AB264" i="2"/>
  <c r="AF262" i="2"/>
  <c r="AC262" i="2"/>
  <c r="AB262" i="2"/>
  <c r="AF260" i="2"/>
  <c r="AC260" i="2"/>
  <c r="AB260" i="2"/>
  <c r="AF258" i="2"/>
  <c r="AC258" i="2"/>
  <c r="AB258" i="2"/>
  <c r="AF256" i="2"/>
  <c r="AC256" i="2"/>
  <c r="AB256" i="2"/>
  <c r="AF254" i="2"/>
  <c r="AC254" i="2"/>
  <c r="AB254" i="2"/>
  <c r="AF252" i="2"/>
  <c r="AC252" i="2"/>
  <c r="AB252" i="2"/>
  <c r="AF250" i="2"/>
  <c r="AC250" i="2"/>
  <c r="AB250" i="2"/>
  <c r="AF248" i="2"/>
  <c r="AC248" i="2"/>
  <c r="AB248" i="2"/>
  <c r="AF246" i="2"/>
  <c r="AC246" i="2"/>
  <c r="AB246" i="2"/>
  <c r="AC244" i="2"/>
  <c r="AB244" i="2"/>
  <c r="AF242" i="2"/>
  <c r="AC242" i="2"/>
  <c r="AB242" i="2"/>
  <c r="AF240" i="2"/>
  <c r="AC240" i="2"/>
  <c r="AB240" i="2"/>
  <c r="AF238" i="2"/>
  <c r="AC238" i="2"/>
  <c r="AB238" i="2"/>
  <c r="AF236" i="2"/>
  <c r="AC236" i="2"/>
  <c r="AB236" i="2"/>
  <c r="AF234" i="2"/>
  <c r="AC234" i="2"/>
  <c r="AB234" i="2"/>
  <c r="AF232" i="2"/>
  <c r="AC232" i="2"/>
  <c r="AB232" i="2"/>
  <c r="AF230" i="2"/>
  <c r="AC230" i="2"/>
  <c r="AB230" i="2"/>
  <c r="AF228" i="2"/>
  <c r="AC228" i="2"/>
  <c r="AB228" i="2"/>
  <c r="AF226" i="2"/>
  <c r="AC226" i="2"/>
  <c r="AB226" i="2"/>
  <c r="AF224" i="2"/>
  <c r="AC224" i="2"/>
  <c r="AB224" i="2"/>
  <c r="AF222" i="2"/>
  <c r="AC222" i="2"/>
  <c r="AB222" i="2"/>
  <c r="AF220" i="2"/>
  <c r="AC220" i="2"/>
  <c r="AB220" i="2"/>
  <c r="AF218" i="2"/>
  <c r="AC218" i="2"/>
  <c r="AB218" i="2"/>
  <c r="AF216" i="2"/>
  <c r="AC216" i="2"/>
  <c r="AB216" i="2"/>
  <c r="AF214" i="2"/>
  <c r="AC214" i="2"/>
  <c r="AB214" i="2"/>
  <c r="AF212" i="2"/>
  <c r="AC212" i="2"/>
  <c r="AB212" i="2"/>
  <c r="AF210" i="2"/>
  <c r="AC210" i="2"/>
  <c r="AB210" i="2"/>
  <c r="AF206" i="2"/>
  <c r="AC206" i="2"/>
  <c r="AB206" i="2"/>
  <c r="AF204" i="2"/>
  <c r="AC204" i="2"/>
  <c r="AB204" i="2"/>
  <c r="AF200" i="2"/>
  <c r="AC200" i="2"/>
  <c r="AB200" i="2"/>
  <c r="AF197" i="2"/>
  <c r="AC197" i="2"/>
  <c r="AB197" i="2"/>
  <c r="AC193" i="2"/>
  <c r="AB193" i="2"/>
  <c r="AC191" i="2"/>
  <c r="AB191" i="2"/>
  <c r="AC187" i="2"/>
  <c r="AB187" i="2"/>
  <c r="AF182" i="2"/>
  <c r="AC182" i="2"/>
  <c r="AB182" i="2"/>
  <c r="AC180" i="2"/>
  <c r="AB180" i="2"/>
  <c r="AF176" i="2"/>
  <c r="AC176" i="2"/>
  <c r="AB176" i="2"/>
  <c r="AF173" i="2"/>
  <c r="AC173" i="2"/>
  <c r="AB173" i="2"/>
  <c r="AF171" i="2"/>
  <c r="AC171" i="2"/>
  <c r="AB171" i="2"/>
  <c r="AF167" i="2"/>
  <c r="AC167" i="2"/>
  <c r="AB167" i="2"/>
  <c r="AF163" i="2"/>
  <c r="AC163" i="2"/>
  <c r="AB163" i="2"/>
  <c r="AF160" i="2"/>
  <c r="AC160" i="2"/>
  <c r="AB160" i="2"/>
  <c r="AF158" i="2"/>
  <c r="AC158" i="2"/>
  <c r="AB158" i="2"/>
  <c r="AF156" i="2"/>
  <c r="AC156" i="2"/>
  <c r="AB156" i="2"/>
  <c r="AF154" i="2"/>
  <c r="AC154" i="2"/>
  <c r="AB154" i="2"/>
  <c r="AF152" i="2"/>
  <c r="AC152" i="2"/>
  <c r="AB152" i="2"/>
  <c r="AF150" i="2"/>
  <c r="AC150" i="2"/>
  <c r="AB150" i="2"/>
  <c r="AF148" i="2"/>
  <c r="AC148" i="2"/>
  <c r="AB148" i="2"/>
  <c r="AF146" i="2"/>
  <c r="AC146" i="2"/>
  <c r="AB146" i="2"/>
  <c r="AF138" i="2"/>
  <c r="AC138" i="2"/>
  <c r="AB138" i="2"/>
  <c r="AF136" i="2"/>
  <c r="AC136" i="2"/>
  <c r="AB136" i="2"/>
  <c r="AF134" i="2"/>
  <c r="AC134" i="2"/>
  <c r="AB134" i="2"/>
  <c r="AF132" i="2"/>
  <c r="AC132" i="2"/>
  <c r="AB132" i="2"/>
  <c r="AF130" i="2"/>
  <c r="AC130" i="2"/>
  <c r="AB130" i="2"/>
  <c r="AF128" i="2"/>
  <c r="AC128" i="2"/>
  <c r="AB128" i="2"/>
  <c r="AF126" i="2"/>
  <c r="AC126" i="2"/>
  <c r="AB126" i="2"/>
  <c r="AF124" i="2"/>
  <c r="AC124" i="2"/>
  <c r="AB124" i="2"/>
  <c r="AF122" i="2"/>
  <c r="AC122" i="2"/>
  <c r="AB122" i="2"/>
  <c r="AF120" i="2"/>
  <c r="AC120" i="2"/>
  <c r="AB120" i="2"/>
  <c r="AF118" i="2"/>
  <c r="AC118" i="2"/>
  <c r="AB118" i="2"/>
  <c r="AF116" i="2"/>
  <c r="AC116" i="2"/>
  <c r="AB116" i="2"/>
  <c r="AF114" i="2"/>
  <c r="AC114" i="2"/>
  <c r="AB114" i="2"/>
  <c r="AF112" i="2"/>
  <c r="AC112" i="2"/>
  <c r="AB112" i="2"/>
  <c r="AF110" i="2"/>
  <c r="AC110" i="2"/>
  <c r="AB110" i="2"/>
  <c r="AF108" i="2"/>
  <c r="AC108" i="2"/>
  <c r="AB108" i="2"/>
  <c r="AF106" i="2"/>
  <c r="AC106" i="2"/>
  <c r="AB106" i="2"/>
  <c r="AF104" i="2"/>
  <c r="AC104" i="2"/>
  <c r="AB104" i="2"/>
  <c r="AF102" i="2"/>
  <c r="AC102" i="2"/>
  <c r="AB102" i="2"/>
  <c r="AF100" i="2"/>
  <c r="AC100" i="2"/>
  <c r="AB100" i="2"/>
  <c r="AF98" i="2"/>
  <c r="AC98" i="2"/>
  <c r="AB98" i="2"/>
  <c r="AF96" i="2"/>
  <c r="AC96" i="2"/>
  <c r="AB96" i="2"/>
  <c r="AF94" i="2"/>
  <c r="AC94" i="2"/>
  <c r="AB94" i="2"/>
  <c r="AF92" i="2"/>
  <c r="AC92" i="2"/>
  <c r="AB92" i="2"/>
  <c r="AF90" i="2"/>
  <c r="AC90" i="2"/>
  <c r="AB90" i="2"/>
  <c r="AF88" i="2"/>
  <c r="AC88" i="2"/>
  <c r="AB88" i="2"/>
  <c r="AF85" i="2"/>
  <c r="AC85" i="2"/>
  <c r="AB85" i="2"/>
  <c r="AF83" i="2"/>
  <c r="AC83" i="2"/>
  <c r="AB83" i="2"/>
  <c r="AF81" i="2"/>
  <c r="AC81" i="2"/>
  <c r="AB81" i="2"/>
  <c r="AF79" i="2"/>
  <c r="AC79" i="2"/>
  <c r="AB79" i="2"/>
  <c r="AF77" i="2"/>
  <c r="AC77" i="2"/>
  <c r="AB77" i="2"/>
  <c r="AF75" i="2"/>
  <c r="AC75" i="2"/>
  <c r="AB75" i="2"/>
  <c r="AF73" i="2"/>
  <c r="AC73" i="2"/>
  <c r="AB73" i="2"/>
  <c r="AF71" i="2"/>
  <c r="AC71" i="2"/>
  <c r="AB71" i="2"/>
  <c r="AF69" i="2"/>
  <c r="AC69" i="2"/>
  <c r="AB69" i="2"/>
  <c r="AF67" i="2"/>
  <c r="AC67" i="2"/>
  <c r="AB67" i="2"/>
  <c r="AF65" i="2"/>
  <c r="AC65" i="2"/>
  <c r="AB65" i="2"/>
  <c r="AF63" i="2"/>
  <c r="AC63" i="2"/>
  <c r="AB63" i="2"/>
  <c r="AF61" i="2"/>
  <c r="AC61" i="2"/>
  <c r="AB61" i="2"/>
  <c r="AF59" i="2"/>
  <c r="AC59" i="2"/>
  <c r="AB59" i="2"/>
  <c r="AF57" i="2"/>
  <c r="AC57" i="2"/>
  <c r="AB57" i="2"/>
  <c r="AF20" i="2"/>
  <c r="AC20" i="2"/>
  <c r="AB20" i="2"/>
  <c r="AF18" i="2"/>
  <c r="AC18" i="2"/>
  <c r="AB18" i="2"/>
  <c r="AF16" i="2"/>
  <c r="AC16" i="2"/>
  <c r="AB16" i="2"/>
  <c r="AF14" i="2"/>
  <c r="AC14" i="2"/>
  <c r="AB14" i="2"/>
  <c r="AF12" i="2"/>
  <c r="AC12" i="2"/>
  <c r="AB12" i="2"/>
  <c r="AF10" i="2"/>
  <c r="AC10" i="2"/>
  <c r="AB10" i="2"/>
  <c r="AF8" i="2"/>
  <c r="AC8" i="2"/>
  <c r="AB8" i="2"/>
  <c r="AF6" i="2"/>
  <c r="AC6" i="2"/>
  <c r="AB6" i="2"/>
  <c r="AC144" i="2"/>
  <c r="AB144" i="2"/>
  <c r="AE113" i="2"/>
  <c r="AD113" i="2"/>
  <c r="AF550" i="2"/>
  <c r="AC550" i="2"/>
  <c r="AB550" i="2"/>
  <c r="AC548" i="2"/>
  <c r="AB548" i="2"/>
  <c r="AF546" i="2"/>
  <c r="AC546" i="2"/>
  <c r="AB546" i="2"/>
  <c r="AF544" i="2"/>
  <c r="AC544" i="2"/>
  <c r="AB544" i="2"/>
  <c r="AF542" i="2"/>
  <c r="AC542" i="2"/>
  <c r="AB542" i="2"/>
  <c r="AC540" i="2"/>
  <c r="AB540" i="2"/>
  <c r="AF538" i="2"/>
  <c r="AC538" i="2"/>
  <c r="AB538" i="2"/>
  <c r="AF534" i="2"/>
  <c r="AC534" i="2"/>
  <c r="AB534" i="2"/>
  <c r="AF531" i="2"/>
  <c r="AC531" i="2"/>
  <c r="AB531" i="2"/>
  <c r="AC528" i="2"/>
  <c r="AB528" i="2"/>
  <c r="AF525" i="2"/>
  <c r="AC525" i="2"/>
  <c r="AB525" i="2"/>
  <c r="AF522" i="2"/>
  <c r="AC522" i="2"/>
  <c r="AB522" i="2"/>
  <c r="AF517" i="2"/>
  <c r="AC517" i="2"/>
  <c r="AB517" i="2"/>
  <c r="AC515" i="2"/>
  <c r="AB515" i="2"/>
  <c r="AF511" i="2"/>
  <c r="AC511" i="2"/>
  <c r="AB511" i="2"/>
  <c r="AF503" i="2"/>
  <c r="AC503" i="2"/>
  <c r="AB503" i="2"/>
  <c r="AF495" i="2"/>
  <c r="AC495" i="2"/>
  <c r="AB495" i="2"/>
  <c r="AC487" i="2"/>
  <c r="AB487" i="2"/>
  <c r="AF479" i="2"/>
  <c r="AC479" i="2"/>
  <c r="AB479" i="2"/>
  <c r="AF474" i="2"/>
  <c r="AC474" i="2"/>
  <c r="AB474" i="2"/>
  <c r="AF472" i="2"/>
  <c r="AC472" i="2"/>
  <c r="AB472" i="2"/>
  <c r="AC470" i="2"/>
  <c r="AB470" i="2"/>
  <c r="AF468" i="2"/>
  <c r="AC468" i="2"/>
  <c r="AB468" i="2"/>
  <c r="AF466" i="2"/>
  <c r="AC466" i="2"/>
  <c r="AB466" i="2"/>
  <c r="AF464" i="2"/>
  <c r="AC464" i="2"/>
  <c r="AB464" i="2"/>
  <c r="AC462" i="2"/>
  <c r="AB462" i="2"/>
  <c r="AF460" i="2"/>
  <c r="AC460" i="2"/>
  <c r="AB460" i="2"/>
  <c r="AF458" i="2"/>
  <c r="AC458" i="2"/>
  <c r="AB458" i="2"/>
  <c r="AF456" i="2"/>
  <c r="AC456" i="2"/>
  <c r="AB456" i="2"/>
  <c r="AC454" i="2"/>
  <c r="AB454" i="2"/>
  <c r="AF452" i="2"/>
  <c r="AC452" i="2"/>
  <c r="AB452" i="2"/>
  <c r="AF450" i="2"/>
  <c r="AC450" i="2"/>
  <c r="AB450" i="2"/>
  <c r="AF448" i="2"/>
  <c r="AC448" i="2"/>
  <c r="AB448" i="2"/>
  <c r="AC446" i="2"/>
  <c r="AB446" i="2"/>
  <c r="AF444" i="2"/>
  <c r="AC444" i="2"/>
  <c r="AB444" i="2"/>
  <c r="AF442" i="2"/>
  <c r="AC442" i="2"/>
  <c r="AB442" i="2"/>
  <c r="AF440" i="2"/>
  <c r="AC440" i="2"/>
  <c r="AB440" i="2"/>
  <c r="AF438" i="2"/>
  <c r="AC438" i="2"/>
  <c r="AB438" i="2"/>
  <c r="AF436" i="2"/>
  <c r="AC436" i="2"/>
  <c r="AB436" i="2"/>
  <c r="AC434" i="2"/>
  <c r="AB434" i="2"/>
  <c r="AF432" i="2"/>
  <c r="AC432" i="2"/>
  <c r="AB432" i="2"/>
  <c r="AC430" i="2"/>
  <c r="AB430" i="2"/>
  <c r="AF428" i="2"/>
  <c r="AC428" i="2"/>
  <c r="AB428" i="2"/>
  <c r="AC426" i="2"/>
  <c r="AB426" i="2"/>
  <c r="AF424" i="2"/>
  <c r="AC424" i="2"/>
  <c r="AB424" i="2"/>
  <c r="AC422" i="2"/>
  <c r="AB422" i="2"/>
  <c r="AF420" i="2"/>
  <c r="AC420" i="2"/>
  <c r="AB420" i="2"/>
  <c r="AC418" i="2"/>
  <c r="AB418" i="2"/>
  <c r="AF416" i="2"/>
  <c r="AC416" i="2"/>
  <c r="AB416" i="2"/>
  <c r="AC414" i="2"/>
  <c r="AB414" i="2"/>
  <c r="AF412" i="2"/>
  <c r="AC412" i="2"/>
  <c r="AB412" i="2"/>
  <c r="AC410" i="2"/>
  <c r="AB410" i="2"/>
  <c r="AF408" i="2"/>
  <c r="AC408" i="2"/>
  <c r="AB408" i="2"/>
  <c r="AC406" i="2"/>
  <c r="AB406" i="2"/>
  <c r="AC404" i="2"/>
  <c r="AB404" i="2"/>
  <c r="AC402" i="2"/>
  <c r="AB402" i="2"/>
  <c r="AC400" i="2"/>
  <c r="AB400" i="2"/>
  <c r="AF396" i="2"/>
  <c r="AC396" i="2"/>
  <c r="AB396" i="2"/>
  <c r="AC394" i="2"/>
  <c r="AB394" i="2"/>
  <c r="AC392" i="2"/>
  <c r="AB392" i="2"/>
  <c r="AC390" i="2"/>
  <c r="AB390" i="2"/>
  <c r="AC388" i="2"/>
  <c r="AB388" i="2"/>
  <c r="AC386" i="2"/>
  <c r="AB386" i="2"/>
  <c r="AC384" i="2"/>
  <c r="AB384" i="2"/>
  <c r="AF381" i="2"/>
  <c r="AC381" i="2"/>
  <c r="AB381" i="2"/>
  <c r="AF378" i="2"/>
  <c r="AC378" i="2"/>
  <c r="AB378" i="2"/>
  <c r="AF376" i="2"/>
  <c r="AC376" i="2"/>
  <c r="AB376" i="2"/>
  <c r="AF374" i="2"/>
  <c r="AC374" i="2"/>
  <c r="AB374" i="2"/>
  <c r="AC372" i="2"/>
  <c r="AB372" i="2"/>
  <c r="AF369" i="2"/>
  <c r="AC369" i="2"/>
  <c r="AB369" i="2"/>
  <c r="AF367" i="2"/>
  <c r="AC367" i="2"/>
  <c r="AB367" i="2"/>
  <c r="AF365" i="2"/>
  <c r="AC365" i="2"/>
  <c r="AB365" i="2"/>
  <c r="AF361" i="2"/>
  <c r="AC361" i="2"/>
  <c r="AB361" i="2"/>
  <c r="AF359" i="2"/>
  <c r="AC359" i="2"/>
  <c r="AB359" i="2"/>
  <c r="AF357" i="2"/>
  <c r="AC357" i="2"/>
  <c r="AB357" i="2"/>
  <c r="AF355" i="2"/>
  <c r="AC355" i="2"/>
  <c r="AB355" i="2"/>
  <c r="AF353" i="2"/>
  <c r="AC353" i="2"/>
  <c r="AB353" i="2"/>
  <c r="AF351" i="2"/>
  <c r="AC351" i="2"/>
  <c r="AB351" i="2"/>
  <c r="AF349" i="2"/>
  <c r="AC349" i="2"/>
  <c r="AB349" i="2"/>
  <c r="AF347" i="2"/>
  <c r="AC347" i="2"/>
  <c r="AB347" i="2"/>
  <c r="AF345" i="2"/>
  <c r="AC345" i="2"/>
  <c r="AB345" i="2"/>
  <c r="AF343" i="2"/>
  <c r="AC343" i="2"/>
  <c r="AB343" i="2"/>
  <c r="AF341" i="2"/>
  <c r="AC341" i="2"/>
  <c r="AB341" i="2"/>
  <c r="AF339" i="2"/>
  <c r="AC339" i="2"/>
  <c r="AB339" i="2"/>
  <c r="AF337" i="2"/>
  <c r="AC337" i="2"/>
  <c r="AB337" i="2"/>
  <c r="AF335" i="2"/>
  <c r="AC335" i="2"/>
  <c r="AB335" i="2"/>
  <c r="AF333" i="2"/>
  <c r="AC333" i="2"/>
  <c r="AB333" i="2"/>
  <c r="AF331" i="2"/>
  <c r="AC331" i="2"/>
  <c r="AB331" i="2"/>
  <c r="AF329" i="2"/>
  <c r="AC329" i="2"/>
  <c r="AB329" i="2"/>
  <c r="AF327" i="2"/>
  <c r="AC327" i="2"/>
  <c r="AB327" i="2"/>
  <c r="AF325" i="2"/>
  <c r="AC325" i="2"/>
  <c r="AB325" i="2"/>
  <c r="AF323" i="2"/>
  <c r="AC323" i="2"/>
  <c r="AB323" i="2"/>
  <c r="AF321" i="2"/>
  <c r="AC321" i="2"/>
  <c r="AB321" i="2"/>
  <c r="AF319" i="2"/>
  <c r="AC319" i="2"/>
  <c r="AB319" i="2"/>
  <c r="AF317" i="2"/>
  <c r="AC317" i="2"/>
  <c r="AB317" i="2"/>
  <c r="AF315" i="2"/>
  <c r="AC315" i="2"/>
  <c r="AB315" i="2"/>
  <c r="AF313" i="2"/>
  <c r="AC313" i="2"/>
  <c r="AB313" i="2"/>
  <c r="AF311" i="2"/>
  <c r="AC311" i="2"/>
  <c r="AB311" i="2"/>
  <c r="AF309" i="2"/>
  <c r="AC309" i="2"/>
  <c r="AB309" i="2"/>
  <c r="AF307" i="2"/>
  <c r="AC307" i="2"/>
  <c r="AB307" i="2"/>
  <c r="AF305" i="2"/>
  <c r="AC305" i="2"/>
  <c r="AB305" i="2"/>
  <c r="AF303" i="2"/>
  <c r="AC303" i="2"/>
  <c r="AB303" i="2"/>
  <c r="AF301" i="2"/>
  <c r="AC301" i="2"/>
  <c r="AB301" i="2"/>
  <c r="AF299" i="2"/>
  <c r="AC299" i="2"/>
  <c r="AB299" i="2"/>
  <c r="AF297" i="2"/>
  <c r="AC297" i="2"/>
  <c r="AB297" i="2"/>
  <c r="AF295" i="2"/>
  <c r="AC295" i="2"/>
  <c r="AB295" i="2"/>
  <c r="AF293" i="2"/>
  <c r="AC293" i="2"/>
  <c r="AB293" i="2"/>
  <c r="AF291" i="2"/>
  <c r="AC291" i="2"/>
  <c r="AB291" i="2"/>
  <c r="AF289" i="2"/>
  <c r="AC289" i="2"/>
  <c r="AB289" i="2"/>
  <c r="AF287" i="2"/>
  <c r="AC287" i="2"/>
  <c r="AB287" i="2"/>
  <c r="AF285" i="2"/>
  <c r="AC285" i="2"/>
  <c r="AB285" i="2"/>
  <c r="AF283" i="2"/>
  <c r="AC283" i="2"/>
  <c r="AB283" i="2"/>
  <c r="AF281" i="2"/>
  <c r="AC281" i="2"/>
  <c r="AB281" i="2"/>
  <c r="AF279" i="2"/>
  <c r="AC279" i="2"/>
  <c r="AB279" i="2"/>
  <c r="AF277" i="2"/>
  <c r="AC277" i="2"/>
  <c r="AB277" i="2"/>
  <c r="AF275" i="2"/>
  <c r="AC275" i="2"/>
  <c r="AB275" i="2"/>
  <c r="AF273" i="2"/>
  <c r="AC273" i="2"/>
  <c r="AB273" i="2"/>
  <c r="AF271" i="2"/>
  <c r="AC271" i="2"/>
  <c r="AB271" i="2"/>
  <c r="AF269" i="2"/>
  <c r="AC269" i="2"/>
  <c r="AB269" i="2"/>
  <c r="AF267" i="2"/>
  <c r="AC267" i="2"/>
  <c r="AB267" i="2"/>
  <c r="AF265" i="2"/>
  <c r="AC265" i="2"/>
  <c r="AB265" i="2"/>
  <c r="AF263" i="2"/>
  <c r="AC263" i="2"/>
  <c r="AB263" i="2"/>
  <c r="AF261" i="2"/>
  <c r="AC261" i="2"/>
  <c r="AB261" i="2"/>
  <c r="AF259" i="2"/>
  <c r="AC259" i="2"/>
  <c r="AB259" i="2"/>
  <c r="AF257" i="2"/>
  <c r="AC257" i="2"/>
  <c r="AB257" i="2"/>
  <c r="AF255" i="2"/>
  <c r="AC255" i="2"/>
  <c r="AB255" i="2"/>
  <c r="AF253" i="2"/>
  <c r="AC253" i="2"/>
  <c r="AB253" i="2"/>
  <c r="AF251" i="2"/>
  <c r="AC251" i="2"/>
  <c r="AB251" i="2"/>
  <c r="AF249" i="2"/>
  <c r="AC249" i="2"/>
  <c r="AB249" i="2"/>
  <c r="AF247" i="2"/>
  <c r="AC247" i="2"/>
  <c r="AB247" i="2"/>
  <c r="AF245" i="2"/>
  <c r="AC245" i="2"/>
  <c r="AB245" i="2"/>
  <c r="AF243" i="2"/>
  <c r="AC243" i="2"/>
  <c r="AB243" i="2"/>
  <c r="AF241" i="2"/>
  <c r="AC241" i="2"/>
  <c r="AB241" i="2"/>
  <c r="AF239" i="2"/>
  <c r="AC239" i="2"/>
  <c r="AB239" i="2"/>
  <c r="AF237" i="2"/>
  <c r="AC237" i="2"/>
  <c r="AB237" i="2"/>
  <c r="AF235" i="2"/>
  <c r="AC235" i="2"/>
  <c r="AB235" i="2"/>
  <c r="AF233" i="2"/>
  <c r="AC233" i="2"/>
  <c r="AB233" i="2"/>
  <c r="AF231" i="2"/>
  <c r="AC231" i="2"/>
  <c r="AB231" i="2"/>
  <c r="AF229" i="2"/>
  <c r="AC229" i="2"/>
  <c r="AB229" i="2"/>
  <c r="AF227" i="2"/>
  <c r="AC227" i="2"/>
  <c r="AB227" i="2"/>
  <c r="AF225" i="2"/>
  <c r="AC225" i="2"/>
  <c r="AB225" i="2"/>
  <c r="AF223" i="2"/>
  <c r="AC223" i="2"/>
  <c r="AB223" i="2"/>
  <c r="AF221" i="2"/>
  <c r="AC221" i="2"/>
  <c r="AB221" i="2"/>
  <c r="AF219" i="2"/>
  <c r="AC219" i="2"/>
  <c r="AB219" i="2"/>
  <c r="AF217" i="2"/>
  <c r="AC217" i="2"/>
  <c r="AB217" i="2"/>
  <c r="AF213" i="2"/>
  <c r="AC213" i="2"/>
  <c r="AB213" i="2"/>
  <c r="AF211" i="2"/>
  <c r="AC211" i="2"/>
  <c r="AB211" i="2"/>
  <c r="AF207" i="2"/>
  <c r="AC207" i="2"/>
  <c r="AB207" i="2"/>
  <c r="AF205" i="2"/>
  <c r="AC205" i="2"/>
  <c r="AB205" i="2"/>
  <c r="AF202" i="2"/>
  <c r="AC202" i="2"/>
  <c r="AB202" i="2"/>
  <c r="AF199" i="2"/>
  <c r="AC199" i="2"/>
  <c r="AB199" i="2"/>
  <c r="AF195" i="2"/>
  <c r="AC195" i="2"/>
  <c r="AB195" i="2"/>
  <c r="AF192" i="2"/>
  <c r="AC192" i="2"/>
  <c r="AB192" i="2"/>
  <c r="AF188" i="2"/>
  <c r="AC188" i="2"/>
  <c r="AB188" i="2"/>
  <c r="AF184" i="2"/>
  <c r="AC184" i="2"/>
  <c r="AB184" i="2"/>
  <c r="AF181" i="2"/>
  <c r="AC181" i="2"/>
  <c r="AB181" i="2"/>
  <c r="AF177" i="2"/>
  <c r="AC177" i="2"/>
  <c r="AB177" i="2"/>
  <c r="AF174" i="2"/>
  <c r="AC174" i="2"/>
  <c r="AB174" i="2"/>
  <c r="AF172" i="2"/>
  <c r="AC172" i="2"/>
  <c r="AB172" i="2"/>
  <c r="AF170" i="2"/>
  <c r="AC170" i="2"/>
  <c r="AB170" i="2"/>
  <c r="AF166" i="2"/>
  <c r="AC166" i="2"/>
  <c r="AB166" i="2"/>
  <c r="AF162" i="2"/>
  <c r="AC162" i="2"/>
  <c r="AB162" i="2"/>
  <c r="AF159" i="2"/>
  <c r="AC159" i="2"/>
  <c r="AB159" i="2"/>
  <c r="AF157" i="2"/>
  <c r="AC157" i="2"/>
  <c r="AB157" i="2"/>
  <c r="AF155" i="2"/>
  <c r="AC155" i="2"/>
  <c r="AB155" i="2"/>
  <c r="AF153" i="2"/>
  <c r="AC153" i="2"/>
  <c r="AB153" i="2"/>
  <c r="AF151" i="2"/>
  <c r="AC151" i="2"/>
  <c r="AB151" i="2"/>
  <c r="AF149" i="2"/>
  <c r="AC149" i="2"/>
  <c r="AB149" i="2"/>
  <c r="AF147" i="2"/>
  <c r="AC147" i="2"/>
  <c r="AB147" i="2"/>
  <c r="AC142" i="2"/>
  <c r="AB142" i="2"/>
  <c r="AF137" i="2"/>
  <c r="AC137" i="2"/>
  <c r="AB137" i="2"/>
  <c r="AF135" i="2"/>
  <c r="AC135" i="2"/>
  <c r="AB135" i="2"/>
  <c r="AF133" i="2"/>
  <c r="AC133" i="2"/>
  <c r="AB133" i="2"/>
  <c r="AF131" i="2"/>
  <c r="AC131" i="2"/>
  <c r="AB131" i="2"/>
  <c r="AF129" i="2"/>
  <c r="AC129" i="2"/>
  <c r="AB129" i="2"/>
  <c r="AF127" i="2"/>
  <c r="AC127" i="2"/>
  <c r="AB127" i="2"/>
  <c r="AF125" i="2"/>
  <c r="AC125" i="2"/>
  <c r="AB125" i="2"/>
  <c r="AF123" i="2"/>
  <c r="AC123" i="2"/>
  <c r="AB123" i="2"/>
  <c r="AF121" i="2"/>
  <c r="AC121" i="2"/>
  <c r="AB121" i="2"/>
  <c r="AF119" i="2"/>
  <c r="AC119" i="2"/>
  <c r="AB119" i="2"/>
  <c r="AF117" i="2"/>
  <c r="AC117" i="2"/>
  <c r="AB117" i="2"/>
  <c r="AF115" i="2"/>
  <c r="AC115" i="2"/>
  <c r="AB115" i="2"/>
  <c r="AC113" i="2"/>
  <c r="AB113" i="2"/>
  <c r="AF111" i="2"/>
  <c r="AC111" i="2"/>
  <c r="AB111" i="2"/>
  <c r="AF109" i="2"/>
  <c r="AC109" i="2"/>
  <c r="AB109" i="2"/>
  <c r="AF107" i="2"/>
  <c r="AC107" i="2"/>
  <c r="AB107" i="2"/>
  <c r="AF105" i="2"/>
  <c r="AC105" i="2"/>
  <c r="AB105" i="2"/>
  <c r="AF103" i="2"/>
  <c r="AC103" i="2"/>
  <c r="AB103" i="2"/>
  <c r="AF101" i="2"/>
  <c r="AC101" i="2"/>
  <c r="AB101" i="2"/>
  <c r="AF99" i="2"/>
  <c r="AC99" i="2"/>
  <c r="AB99" i="2"/>
  <c r="AF97" i="2"/>
  <c r="AC97" i="2"/>
  <c r="AB97" i="2"/>
  <c r="AF95" i="2"/>
  <c r="AC95" i="2"/>
  <c r="AB95" i="2"/>
  <c r="AF93" i="2"/>
  <c r="AC93" i="2"/>
  <c r="AB93" i="2"/>
  <c r="AF91" i="2"/>
  <c r="AC91" i="2"/>
  <c r="AB91" i="2"/>
  <c r="AF89" i="2"/>
  <c r="AC89" i="2"/>
  <c r="AB89" i="2"/>
  <c r="AF87" i="2"/>
  <c r="AC87" i="2"/>
  <c r="AB87" i="2"/>
  <c r="AC84" i="2"/>
  <c r="AB84" i="2"/>
  <c r="AC82" i="2"/>
  <c r="AB82" i="2"/>
  <c r="AC80" i="2"/>
  <c r="AB80" i="2"/>
  <c r="AC78" i="2"/>
  <c r="AB78" i="2"/>
  <c r="AC76" i="2"/>
  <c r="AB76" i="2"/>
  <c r="AC74" i="2"/>
  <c r="AB74" i="2"/>
  <c r="AC72" i="2"/>
  <c r="AB72" i="2"/>
  <c r="AC70" i="2"/>
  <c r="AB70" i="2"/>
  <c r="AC68" i="2"/>
  <c r="AB68" i="2"/>
  <c r="AC66" i="2"/>
  <c r="AB66" i="2"/>
  <c r="AC64" i="2"/>
  <c r="AB64" i="2"/>
  <c r="AC62" i="2"/>
  <c r="AB62" i="2"/>
  <c r="AC60" i="2"/>
  <c r="AB60" i="2"/>
  <c r="AC58" i="2"/>
  <c r="AB58" i="2"/>
  <c r="AC21" i="2"/>
  <c r="AB21" i="2"/>
  <c r="AC19" i="2"/>
  <c r="AB19" i="2"/>
  <c r="AC17" i="2"/>
  <c r="AB17" i="2"/>
  <c r="AC15" i="2"/>
  <c r="AB15" i="2"/>
  <c r="AC13" i="2"/>
  <c r="AB13" i="2"/>
  <c r="AC11" i="2"/>
  <c r="AB11" i="2"/>
  <c r="AC9" i="2"/>
  <c r="AB9" i="2"/>
  <c r="AC7" i="2"/>
  <c r="AB7" i="2"/>
  <c r="AC5" i="2"/>
  <c r="AB5" i="2"/>
  <c r="AC3" i="2"/>
  <c r="AB3" i="2"/>
  <c r="AF141" i="2"/>
  <c r="AF145" i="2"/>
  <c r="AF140" i="2"/>
  <c r="AF144" i="2"/>
  <c r="AF113" i="2"/>
  <c r="U569" i="9" l="1"/>
  <c r="U568" i="9"/>
  <c r="U567" i="9"/>
  <c r="U566" i="9"/>
  <c r="U565" i="9"/>
  <c r="U564" i="9"/>
  <c r="AF563" i="9"/>
  <c r="AD563" i="9"/>
  <c r="AH563" i="9" s="1"/>
  <c r="U563" i="9" s="1"/>
  <c r="Y563" i="9"/>
  <c r="AF562" i="9"/>
  <c r="AD562" i="9"/>
  <c r="Y562" i="9"/>
  <c r="AH562" i="9" s="1"/>
  <c r="AF561" i="9"/>
  <c r="AD561" i="9"/>
  <c r="AH561" i="9" s="1"/>
  <c r="U561" i="9" s="1"/>
  <c r="AC561" i="9"/>
  <c r="Z556" i="9"/>
  <c r="AD554" i="9"/>
  <c r="Z554" i="9"/>
  <c r="AD552" i="9"/>
  <c r="Z550" i="9"/>
  <c r="AD549" i="9"/>
  <c r="AD548" i="9"/>
  <c r="AD546" i="9"/>
  <c r="Z545" i="9"/>
  <c r="AD543" i="9"/>
  <c r="Z543" i="9"/>
  <c r="Z542" i="9"/>
  <c r="AD540" i="9"/>
  <c r="Z540" i="9"/>
  <c r="Z536" i="9"/>
  <c r="AD535" i="9"/>
  <c r="AD534" i="9"/>
  <c r="Z534" i="9"/>
  <c r="Z533" i="9"/>
  <c r="V533" i="9"/>
  <c r="AD531" i="9"/>
  <c r="Z531" i="9"/>
  <c r="AD529" i="9"/>
  <c r="Z529" i="9"/>
  <c r="AG490" i="9"/>
  <c r="AB490" i="9"/>
  <c r="AH490" i="9" s="1"/>
  <c r="AH489" i="9"/>
  <c r="AH488" i="9"/>
  <c r="AH487" i="9"/>
  <c r="AD487" i="9"/>
  <c r="AH485" i="9"/>
  <c r="AK477" i="9"/>
  <c r="AK476" i="9"/>
  <c r="AK458" i="9"/>
  <c r="AK457" i="9"/>
  <c r="U451" i="9"/>
  <c r="U450" i="9"/>
  <c r="U449" i="9"/>
  <c r="U448" i="9"/>
  <c r="U447" i="9"/>
  <c r="U446" i="9"/>
  <c r="U445" i="9"/>
  <c r="U444" i="9"/>
  <c r="U443" i="9"/>
  <c r="U442" i="9"/>
  <c r="U441" i="9"/>
  <c r="U440" i="9"/>
  <c r="U439" i="9"/>
  <c r="U438" i="9"/>
  <c r="U437" i="9"/>
  <c r="U436" i="9"/>
  <c r="U435" i="9"/>
  <c r="U434" i="9"/>
  <c r="U433" i="9"/>
  <c r="U432" i="9"/>
  <c r="U431" i="9"/>
  <c r="U430" i="9"/>
  <c r="U429" i="9"/>
  <c r="U428" i="9"/>
  <c r="U427" i="9"/>
  <c r="U426" i="9"/>
  <c r="U425" i="9"/>
  <c r="U424" i="9"/>
  <c r="U423" i="9"/>
  <c r="U422" i="9"/>
  <c r="U421" i="9"/>
  <c r="U420" i="9"/>
  <c r="U419" i="9"/>
  <c r="U418" i="9"/>
  <c r="U417" i="9"/>
  <c r="U416" i="9"/>
  <c r="U415" i="9"/>
  <c r="U414" i="9"/>
  <c r="U413" i="9"/>
  <c r="U412" i="9"/>
  <c r="U411" i="9"/>
  <c r="U410" i="9"/>
  <c r="U409" i="9"/>
  <c r="U408" i="9"/>
  <c r="U407" i="9"/>
  <c r="U406" i="9"/>
  <c r="U405" i="9"/>
  <c r="U404" i="9"/>
  <c r="U403" i="9"/>
  <c r="U402" i="9"/>
  <c r="U401" i="9"/>
  <c r="U400" i="9"/>
  <c r="U399" i="9"/>
  <c r="U398" i="9"/>
  <c r="U397" i="9"/>
  <c r="U396" i="9"/>
  <c r="U395" i="9"/>
  <c r="U394" i="9"/>
  <c r="U393" i="9"/>
  <c r="U392" i="9"/>
  <c r="U391" i="9"/>
  <c r="U390" i="9"/>
  <c r="U389" i="9"/>
  <c r="U388" i="9"/>
  <c r="U387" i="9"/>
  <c r="U386" i="9"/>
  <c r="U385" i="9"/>
  <c r="U384" i="9"/>
  <c r="U383" i="9"/>
  <c r="U382" i="9"/>
  <c r="U381" i="9"/>
  <c r="U380" i="9"/>
  <c r="U379" i="9"/>
  <c r="U378" i="9"/>
  <c r="U377" i="9"/>
  <c r="U376" i="9"/>
  <c r="U375" i="9"/>
  <c r="U374" i="9"/>
  <c r="U373" i="9"/>
  <c r="U372" i="9"/>
  <c r="U371" i="9"/>
  <c r="U370" i="9"/>
  <c r="AD357" i="9"/>
  <c r="AD356" i="9"/>
  <c r="AD355" i="9"/>
  <c r="AD354" i="9"/>
  <c r="AD353" i="9"/>
  <c r="AD347" i="9"/>
  <c r="AD343" i="9"/>
  <c r="AD341" i="9"/>
  <c r="AD336" i="9"/>
  <c r="U332" i="9"/>
  <c r="U331" i="9"/>
  <c r="U330" i="9"/>
  <c r="U327" i="9"/>
  <c r="U326" i="9"/>
  <c r="U325" i="9"/>
  <c r="U323" i="9"/>
  <c r="U322" i="9"/>
  <c r="U317" i="9"/>
  <c r="U316" i="9"/>
  <c r="U315" i="9"/>
  <c r="U313" i="9"/>
  <c r="U309" i="9"/>
  <c r="U304" i="9"/>
  <c r="U299" i="9"/>
  <c r="U298" i="9"/>
  <c r="U297" i="9"/>
  <c r="U295" i="9"/>
  <c r="U291" i="9"/>
  <c r="U283" i="9"/>
  <c r="U282" i="9"/>
  <c r="U281" i="9"/>
  <c r="U279" i="9"/>
  <c r="U275" i="9"/>
  <c r="U267" i="9"/>
  <c r="U266" i="9"/>
  <c r="U265" i="9"/>
  <c r="U263" i="9"/>
  <c r="U261" i="9"/>
  <c r="AN257" i="9"/>
  <c r="AM257" i="9"/>
  <c r="AN256" i="9"/>
  <c r="AM256" i="9"/>
  <c r="AN255" i="9"/>
  <c r="AM255" i="9"/>
  <c r="U253" i="9"/>
  <c r="Z247" i="9"/>
  <c r="AG231" i="9"/>
  <c r="U230" i="9"/>
  <c r="U229" i="9"/>
  <c r="AM229" i="9" s="1"/>
  <c r="AM228" i="9"/>
  <c r="U228" i="9"/>
  <c r="U225" i="9"/>
  <c r="AM225" i="9" s="1"/>
  <c r="AM224" i="9"/>
  <c r="U224" i="9"/>
  <c r="U223" i="9"/>
  <c r="AM223" i="9" s="1"/>
  <c r="AM222" i="9"/>
  <c r="U222" i="9"/>
  <c r="U220" i="9"/>
  <c r="AM220" i="9" s="1"/>
  <c r="AM218" i="9"/>
  <c r="U218" i="9"/>
  <c r="U217" i="9"/>
  <c r="AM217" i="9" s="1"/>
  <c r="AM215" i="9"/>
  <c r="U215" i="9"/>
  <c r="U213" i="9"/>
  <c r="AM213" i="9" s="1"/>
  <c r="AM211" i="9"/>
  <c r="U211" i="9"/>
  <c r="U210" i="9"/>
  <c r="AM210" i="9" s="1"/>
  <c r="AM209" i="9"/>
  <c r="U209" i="9"/>
  <c r="U206" i="9"/>
  <c r="AM206" i="9" s="1"/>
  <c r="AM205" i="9"/>
  <c r="U205" i="9"/>
  <c r="U202" i="9"/>
  <c r="AM202" i="9" s="1"/>
  <c r="AM200" i="9"/>
  <c r="U200" i="9"/>
  <c r="U199" i="9"/>
  <c r="AM199" i="9" s="1"/>
  <c r="AH198" i="9"/>
  <c r="AF198" i="9"/>
  <c r="AD198" i="9"/>
  <c r="AA198" i="9"/>
  <c r="Z198" i="9"/>
  <c r="Y198" i="9"/>
  <c r="X198" i="9"/>
  <c r="V198" i="9"/>
  <c r="AM197" i="9"/>
  <c r="U197" i="9"/>
  <c r="U196" i="9"/>
  <c r="U198" i="9" s="1"/>
  <c r="AM198" i="9" s="1"/>
  <c r="U194" i="9"/>
  <c r="AM194" i="9" s="1"/>
  <c r="AM193" i="9"/>
  <c r="U193" i="9"/>
  <c r="U191" i="9"/>
  <c r="AM191" i="9" s="1"/>
  <c r="AM190" i="9"/>
  <c r="U190" i="9"/>
  <c r="U189" i="9"/>
  <c r="AM189" i="9" s="1"/>
  <c r="AM188" i="9"/>
  <c r="U188" i="9"/>
  <c r="U187" i="9"/>
  <c r="AM187" i="9" s="1"/>
  <c r="AM184" i="9"/>
  <c r="U184" i="9"/>
  <c r="U183" i="9"/>
  <c r="AM183" i="9" s="1"/>
  <c r="AM180" i="9"/>
  <c r="U180" i="9"/>
  <c r="U179" i="9"/>
  <c r="AM179" i="9" s="1"/>
  <c r="U164" i="9"/>
  <c r="U163" i="9"/>
  <c r="U160" i="9"/>
  <c r="J160" i="9"/>
  <c r="U159" i="9"/>
  <c r="U156" i="9"/>
  <c r="J156" i="9"/>
  <c r="U155" i="9"/>
  <c r="U154" i="9"/>
  <c r="U153" i="9"/>
  <c r="U152" i="9"/>
  <c r="U151" i="9"/>
  <c r="U150" i="9"/>
  <c r="U149" i="9"/>
  <c r="U148" i="9"/>
  <c r="U147" i="9"/>
  <c r="U146" i="9"/>
  <c r="U145" i="9"/>
  <c r="U144" i="9"/>
  <c r="U143" i="9"/>
  <c r="U142" i="9"/>
  <c r="U141" i="9"/>
  <c r="U140" i="9"/>
  <c r="U139" i="9"/>
  <c r="U138" i="9"/>
  <c r="U137" i="9"/>
  <c r="U136" i="9"/>
  <c r="U135" i="9"/>
  <c r="U134" i="9"/>
  <c r="U133" i="9"/>
  <c r="Z132" i="9"/>
  <c r="U132" i="9"/>
  <c r="Z131" i="9"/>
  <c r="U131" i="9"/>
  <c r="Z130" i="9"/>
  <c r="U130" i="9"/>
  <c r="Z129" i="9"/>
  <c r="U129" i="9"/>
  <c r="Z128" i="9"/>
  <c r="U128" i="9"/>
  <c r="Z127" i="9"/>
  <c r="U127" i="9"/>
  <c r="Z126" i="9"/>
  <c r="U126" i="9"/>
  <c r="Z125" i="9"/>
  <c r="U125" i="9"/>
  <c r="Z124" i="9"/>
  <c r="U124" i="9"/>
  <c r="Z123" i="9"/>
  <c r="U123" i="9"/>
  <c r="Z122" i="9"/>
  <c r="U122" i="9"/>
  <c r="Z121" i="9"/>
  <c r="U121" i="9"/>
  <c r="Z120" i="9"/>
  <c r="U120" i="9"/>
  <c r="Z119" i="9"/>
  <c r="U119" i="9"/>
  <c r="Z118" i="9"/>
  <c r="U118" i="9"/>
  <c r="Z117" i="9"/>
  <c r="U117" i="9"/>
  <c r="AG32" i="9"/>
  <c r="AH32" i="9" s="1"/>
  <c r="U31" i="9"/>
  <c r="T31" i="9"/>
  <c r="U30" i="9"/>
  <c r="T30" i="9"/>
  <c r="U29" i="9"/>
  <c r="T29" i="9"/>
  <c r="U28" i="9"/>
  <c r="T28" i="9"/>
  <c r="AF17" i="9"/>
  <c r="Z17" i="9"/>
  <c r="U17" i="9" s="1"/>
  <c r="AF16" i="9"/>
  <c r="Z16" i="9"/>
  <c r="U16" i="9"/>
  <c r="AF15" i="9"/>
  <c r="Z15" i="9"/>
  <c r="U15" i="9" s="1"/>
  <c r="Z13" i="9"/>
  <c r="U13" i="9" s="1"/>
  <c r="Z12" i="9"/>
  <c r="U12" i="9" s="1"/>
  <c r="AF10" i="9"/>
  <c r="Z10" i="9"/>
  <c r="U10" i="9"/>
  <c r="AH9" i="9"/>
  <c r="Z9" i="9"/>
  <c r="U9" i="9" s="1"/>
  <c r="Z8" i="9"/>
  <c r="U8" i="9" s="1"/>
  <c r="Z6" i="9"/>
  <c r="U6" i="9" s="1"/>
  <c r="AP5" i="9"/>
  <c r="AO5" i="9"/>
  <c r="AH4" i="9"/>
  <c r="AO4" i="9" s="1"/>
  <c r="AP4" i="9" s="1"/>
  <c r="Z4" i="9"/>
  <c r="U4" i="9"/>
  <c r="U307" i="9" l="1"/>
  <c r="U308" i="9"/>
  <c r="U258" i="9"/>
  <c r="U271" i="9"/>
  <c r="U273" i="9"/>
  <c r="U274" i="9"/>
  <c r="U287" i="9"/>
  <c r="U289" i="9"/>
  <c r="U290" i="9"/>
  <c r="U303" i="9"/>
  <c r="U305" i="9"/>
  <c r="U321" i="9"/>
  <c r="U329" i="9"/>
  <c r="AM254" i="9"/>
  <c r="U259" i="9"/>
  <c r="U262" i="9"/>
  <c r="U269" i="9"/>
  <c r="U270" i="9"/>
  <c r="U277" i="9"/>
  <c r="U278" i="9"/>
  <c r="U285" i="9"/>
  <c r="U286" i="9"/>
  <c r="U293" i="9"/>
  <c r="U294" i="9"/>
  <c r="U301" i="9"/>
  <c r="U302" i="9"/>
  <c r="U311" i="9"/>
  <c r="U312" i="9"/>
  <c r="U319" i="9"/>
  <c r="U320" i="9"/>
  <c r="U324" i="9"/>
  <c r="U328" i="9"/>
  <c r="U260" i="9"/>
  <c r="U264" i="9"/>
  <c r="U268" i="9"/>
  <c r="U272" i="9"/>
  <c r="U276" i="9"/>
  <c r="U280" i="9"/>
  <c r="U284" i="9"/>
  <c r="U288" i="9"/>
  <c r="U292" i="9"/>
  <c r="U296" i="9"/>
  <c r="U300" i="9"/>
  <c r="U306" i="9"/>
  <c r="U310" i="9"/>
  <c r="U314" i="9"/>
  <c r="U318" i="9"/>
  <c r="U562" i="9"/>
  <c r="AM196" i="9"/>
</calcChain>
</file>

<file path=xl/comments1.xml><?xml version="1.0" encoding="utf-8"?>
<comments xmlns="http://schemas.openxmlformats.org/spreadsheetml/2006/main">
  <authors>
    <author>Agnes Lugosi</author>
    <author>Hrehovszki Hedvig</author>
    <author>G_krisztina</author>
    <author>litresits</author>
  </authors>
  <commentList>
    <comment ref="O10" authorId="0">
      <text>
        <r>
          <rPr>
            <b/>
            <sz val="8"/>
            <color indexed="81"/>
            <rFont val="Tahoma"/>
            <family val="2"/>
          </rPr>
          <t>Agnes Lugosi:</t>
        </r>
        <r>
          <rPr>
            <sz val="8"/>
            <color indexed="81"/>
            <rFont val="Tahoma"/>
            <family val="2"/>
          </rPr>
          <t xml:space="preserve">
2012. október 24-ig 1%
</t>
        </r>
      </text>
    </comment>
    <comment ref="O11" authorId="0">
      <text>
        <r>
          <rPr>
            <b/>
            <sz val="8"/>
            <color indexed="81"/>
            <rFont val="Tahoma"/>
            <family val="2"/>
          </rPr>
          <t>Agnes Lugosi:</t>
        </r>
        <r>
          <rPr>
            <sz val="8"/>
            <color indexed="81"/>
            <rFont val="Tahoma"/>
            <family val="2"/>
          </rPr>
          <t xml:space="preserve">
2012. október 24-ig 0,1%
</t>
        </r>
      </text>
    </comment>
    <comment ref="N148" authorId="1">
      <text>
        <r>
          <rPr>
            <b/>
            <sz val="9"/>
            <color indexed="81"/>
            <rFont val="Tahoma"/>
            <family val="2"/>
            <charset val="238"/>
          </rPr>
          <t>Hrehovszki Hedvig:</t>
        </r>
        <r>
          <rPr>
            <sz val="9"/>
            <color indexed="81"/>
            <rFont val="Tahoma"/>
            <family val="2"/>
            <charset val="238"/>
          </rPr>
          <t xml:space="preserve">
nincs referencia hozama az alapnak</t>
        </r>
      </text>
    </comment>
    <comment ref="N152" authorId="1">
      <text>
        <r>
          <rPr>
            <b/>
            <sz val="9"/>
            <color indexed="81"/>
            <rFont val="Tahoma"/>
            <family val="2"/>
            <charset val="238"/>
          </rPr>
          <t>Hrehovszki Hedvig:</t>
        </r>
        <r>
          <rPr>
            <sz val="9"/>
            <color indexed="81"/>
            <rFont val="Tahoma"/>
            <family val="2"/>
            <charset val="238"/>
          </rPr>
          <t xml:space="preserve">
nincs referencia hozama az alapnak</t>
        </r>
      </text>
    </comment>
    <comment ref="O380" authorId="2">
      <text>
        <r>
          <rPr>
            <b/>
            <sz val="8"/>
            <color indexed="81"/>
            <rFont val="Tahoma"/>
            <family val="2"/>
            <charset val="238"/>
          </rPr>
          <t>G_krisztina:</t>
        </r>
        <r>
          <rPr>
            <sz val="8"/>
            <color indexed="81"/>
            <rFont val="Tahoma"/>
            <family val="2"/>
            <charset val="238"/>
          </rPr>
          <t xml:space="preserve">
2013.12.23. hatájos táj szerint</t>
        </r>
      </text>
    </comment>
    <comment ref="O382" authorId="2">
      <text>
        <r>
          <rPr>
            <b/>
            <sz val="8"/>
            <color indexed="81"/>
            <rFont val="Tahoma"/>
            <family val="2"/>
            <charset val="238"/>
          </rPr>
          <t>G_krisztina:</t>
        </r>
        <r>
          <rPr>
            <sz val="8"/>
            <color indexed="81"/>
            <rFont val="Tahoma"/>
            <family val="2"/>
            <charset val="238"/>
          </rPr>
          <t xml:space="preserve">
2013.12.23. hatájos táj szerint</t>
        </r>
      </text>
    </comment>
    <comment ref="O389" authorId="2">
      <text>
        <r>
          <rPr>
            <b/>
            <sz val="8"/>
            <color indexed="81"/>
            <rFont val="Tahoma"/>
            <family val="2"/>
            <charset val="238"/>
          </rPr>
          <t>G_krisztina:</t>
        </r>
        <r>
          <rPr>
            <sz val="8"/>
            <color indexed="81"/>
            <rFont val="Tahoma"/>
            <family val="2"/>
            <charset val="238"/>
          </rPr>
          <t xml:space="preserve">
2013.12.23. hatájos táj szerint</t>
        </r>
      </text>
    </comment>
    <comment ref="O397" authorId="2">
      <text>
        <r>
          <rPr>
            <b/>
            <sz val="8"/>
            <color indexed="81"/>
            <rFont val="Tahoma"/>
            <family val="2"/>
            <charset val="238"/>
          </rPr>
          <t>G_krisztina:</t>
        </r>
        <r>
          <rPr>
            <sz val="8"/>
            <color indexed="81"/>
            <rFont val="Tahoma"/>
            <family val="2"/>
            <charset val="238"/>
          </rPr>
          <t xml:space="preserve">
2013.12.23. hatájos táj szerint</t>
        </r>
      </text>
    </comment>
    <comment ref="O401" authorId="2">
      <text>
        <r>
          <rPr>
            <b/>
            <sz val="8"/>
            <color indexed="81"/>
            <rFont val="Tahoma"/>
            <family val="2"/>
            <charset val="238"/>
          </rPr>
          <t>G_krisztina:</t>
        </r>
        <r>
          <rPr>
            <sz val="8"/>
            <color indexed="81"/>
            <rFont val="Tahoma"/>
            <family val="2"/>
            <charset val="238"/>
          </rPr>
          <t xml:space="preserve">
2013.12.23. hatájos táj szerint</t>
        </r>
      </text>
    </comment>
    <comment ref="O415" authorId="2">
      <text>
        <r>
          <rPr>
            <b/>
            <sz val="8"/>
            <color indexed="81"/>
            <rFont val="Tahoma"/>
            <family val="2"/>
            <charset val="238"/>
          </rPr>
          <t>G_krisztina:</t>
        </r>
        <r>
          <rPr>
            <sz val="8"/>
            <color indexed="81"/>
            <rFont val="Tahoma"/>
            <family val="2"/>
            <charset val="238"/>
          </rPr>
          <t xml:space="preserve">
2013.12.23. hatájos táj szerint</t>
        </r>
      </text>
    </comment>
    <comment ref="O417" authorId="2">
      <text>
        <r>
          <rPr>
            <b/>
            <sz val="8"/>
            <color indexed="81"/>
            <rFont val="Tahoma"/>
            <family val="2"/>
            <charset val="238"/>
          </rPr>
          <t>G_krisztina:</t>
        </r>
        <r>
          <rPr>
            <sz val="8"/>
            <color indexed="81"/>
            <rFont val="Tahoma"/>
            <family val="2"/>
            <charset val="238"/>
          </rPr>
          <t xml:space="preserve">
2013.12.23. hatájos táj szerint</t>
        </r>
      </text>
    </comment>
    <comment ref="O441" authorId="2">
      <text>
        <r>
          <rPr>
            <sz val="8"/>
            <color indexed="81"/>
            <rFont val="Tahoma"/>
            <family val="2"/>
            <charset val="238"/>
          </rPr>
          <t xml:space="preserve">Alapkezelő folyamatos és egyszeri alapkezelői díjat számít fel az Alappal szemben oly módon, hogy az Alap
Futamideje alatt felszámított alapkezelési díjak átlagos éves mértéke - az Alap Futamideje egészét tekintve - nem
haladhatja meg az Alap átlagos nettó eszközértékének 2,5%-át.
Folyamatosan felszámított díj:
</t>
        </r>
        <r>
          <rPr>
            <b/>
            <sz val="8"/>
            <color indexed="81"/>
            <rFont val="Tahoma"/>
            <family val="2"/>
            <charset val="238"/>
          </rPr>
          <t>Az Alapkezelő az Alap átlagos nettó eszközértékének évente legfeljebb 2%-át számolja fel az Alappal szemben
folyamatos alapkezelői díj címén.</t>
        </r>
        <r>
          <rPr>
            <sz val="8"/>
            <color indexed="81"/>
            <rFont val="Tahoma"/>
            <family val="2"/>
            <charset val="238"/>
          </rPr>
          <t xml:space="preserve">
A folyamatos alapkezelői díj – utolsó nettó eszközértékre vetített - időarányos része naponta kerül felszámításra,
kifizetése a tárgyhónapot követő első naptól esedékes.
Az alapkezelői díj az alább felsorolt közvetített szolgáltatások költségeit már tartalmazza, ezért azok közvetlenül
nem terhelhetők az Alapra:
 letétkezelés (kivéve a 8.2.3 pontban foglalt költségeket, amelyek az Alapot közvetlenül terhelik);
 könyvvizsgálat;
 az Alap, illetve az Alap által kibocsátott Befektetési Jegyek reklámozása, az ezel kapcsolatban folytatott
kereskedelmi kommunikáció, a befektetők tájékoztatása;
 a Befektetési jegyek nyilvános forgalomba hozatala és folyamatos forgalmazása.</t>
        </r>
      </text>
    </comment>
    <comment ref="O447" authorId="2">
      <text>
        <r>
          <rPr>
            <sz val="8"/>
            <color indexed="81"/>
            <rFont val="Tahoma"/>
            <family val="2"/>
            <charset val="238"/>
          </rPr>
          <t xml:space="preserve">Alapkezelő folyamatos és egyszeri alapkezelői díjat számít fel az Alappal szemben oly módon, hogy az Alap
Futamideje alatt felszámított alapkezelési díjak átlagos éves mértéke - az Alap Futamideje egészét tekintve - nem
haladhatja meg az Alap átlagos nettó eszközértékének 2,5%-át.
Folyamatosan felszámított díj:
</t>
        </r>
        <r>
          <rPr>
            <b/>
            <sz val="8"/>
            <color indexed="81"/>
            <rFont val="Tahoma"/>
            <family val="2"/>
            <charset val="238"/>
          </rPr>
          <t>Az Alapkezelő az Alap átlagos nettó eszközértékének évente legfeljebb 2%-át számolja fel az Alappal szemben
folyamatos alapkezelői díj címén.</t>
        </r>
        <r>
          <rPr>
            <sz val="8"/>
            <color indexed="81"/>
            <rFont val="Tahoma"/>
            <family val="2"/>
            <charset val="238"/>
          </rPr>
          <t xml:space="preserve">
A folyamatos alapkezelői díj – utolsó nettó eszközértékre vetített - időarányos része naponta kerül felszámításra,
kifizetése a tárgyhónapot követő első naptól esedékes.
Az alapkezelői díj az alább felsorolt közvetített szolgáltatások költségeit már tartalmazza, ezért azok közvetlenül
nem terhelhetők az Alapra:
 letétkezelés (kivéve a 8.2.3 pontban foglalt költségeket, amelyek az Alapot közvetlenül terhelik);
 könyvvizsgálat;
 az Alap, illetve az Alap által kibocsátott Befektetési Jegyek reklámozása, az ezel kapcsolatban folytatott
kereskedelmi kommunikáció, a befektetők tájékoztatása;
 a Befektetési jegyek nyilvános forgalomba hozatala és folyamatos forgalmazása.</t>
        </r>
      </text>
    </comment>
    <comment ref="O448" authorId="2">
      <text>
        <r>
          <rPr>
            <sz val="8"/>
            <color indexed="81"/>
            <rFont val="Tahoma"/>
            <family val="2"/>
            <charset val="238"/>
          </rPr>
          <t xml:space="preserve">Alapkezelő folyamatos és egyszeri alapkezelői díjat számít fel az Alappal szemben oly módon, hogy az Alap
Futamideje alatt felszámított alapkezelési díjak átlagos éves mértéke - az Alap Futamideje egészét tekintve - nem
haladhatja meg az Alap átlagos nettó eszközértékének 2,5%-át.
Folyamatosan felszámított díj:
</t>
        </r>
        <r>
          <rPr>
            <b/>
            <sz val="8"/>
            <color indexed="81"/>
            <rFont val="Tahoma"/>
            <family val="2"/>
            <charset val="238"/>
          </rPr>
          <t>Az Alapkezelő az Alap átlagos nettó eszközértékének évente legfeljebb 2%-át számolja fel az Alappal szemben
folyamatos alapkezelői díj címén.</t>
        </r>
        <r>
          <rPr>
            <sz val="8"/>
            <color indexed="81"/>
            <rFont val="Tahoma"/>
            <family val="2"/>
            <charset val="238"/>
          </rPr>
          <t xml:space="preserve">
A folyamatos alapkezelői díj – utolsó nettó eszközértékre vetített - időarányos része naponta kerül felszámításra,
kifizetése a tárgyhónapot követő első naptól esedékes.
Az alapkezelői díj az alább felsorolt közvetített szolgáltatások költségeit már tartalmazza, ezért azok közvetlenül
nem terhelhetők az Alapra:
 letétkezelés (kivéve a 8.2.3 pontban foglalt költségeket, amelyek az Alapot közvetlenül terhelik);
 könyvvizsgálat;
 az Alap, illetve az Alap által kibocsátott Befektetési Jegyek reklámozása, az ezel kapcsolatban folytatott
kereskedelmi kommunikáció, a befektetők tájékoztatása;
 a Befektetési jegyek nyilvános forgalomba hozatala és folyamatos forgalmazása.</t>
        </r>
      </text>
    </comment>
    <comment ref="O451" authorId="2">
      <text>
        <r>
          <rPr>
            <sz val="8"/>
            <color indexed="81"/>
            <rFont val="Tahoma"/>
            <family val="2"/>
            <charset val="238"/>
          </rPr>
          <t xml:space="preserve">Alapkezelő folyamatos és egyszeri alapkezelői díjat számít fel az Alappal szemben oly módon, hogy az Alap
Futamideje alatt felszámított alapkezelési díjak átlagos éves mértéke - az Alap Futamideje egészét tekintve - nem
haladhatja meg az Alap átlagos nettó eszközértékének 2,5%-át.
Folyamatosan felszámított díj:
</t>
        </r>
        <r>
          <rPr>
            <b/>
            <sz val="8"/>
            <color indexed="81"/>
            <rFont val="Tahoma"/>
            <family val="2"/>
            <charset val="238"/>
          </rPr>
          <t>Az Alapkezelő az Alap átlagos nettó eszközértékének évente legfeljebb 2%-át számolja fel az Alappal szemben
folyamatos alapkezelői díj címén.</t>
        </r>
        <r>
          <rPr>
            <sz val="8"/>
            <color indexed="81"/>
            <rFont val="Tahoma"/>
            <family val="2"/>
            <charset val="238"/>
          </rPr>
          <t xml:space="preserve">
A folyamatos alapkezelői díj – utolsó nettó eszközértékre vetített - időarányos része naponta kerül felszámításra,
kifizetése a tárgyhónapot követő első naptól esedékes.
Az alapkezelői díj az alább felsorolt közvetített szolgáltatások költségeit már tartalmazza, ezért azok közvetlenül
nem terhelhetők az Alapra:
 letétkezelés (kivéve a 8.2.3 pontban foglalt költségeket, amelyek az Alapot közvetlenül terhelik);
 könyvvizsgálat;
 az Alap, illetve az Alap által kibocsátott Befektetési Jegyek reklámozása, az ezel kapcsolatban folytatott
kereskedelmi kommunikáció, a befektetők tájékoztatása;
 a Befektetési jegyek nyilvános forgalomba hozatala és folyamatos forgalmazása.</t>
        </r>
      </text>
    </comment>
    <comment ref="G545" authorId="3">
      <text>
        <r>
          <rPr>
            <b/>
            <sz val="8"/>
            <color indexed="81"/>
            <rFont val="Tahoma"/>
            <family val="2"/>
            <charset val="238"/>
          </rPr>
          <t>litresits:</t>
        </r>
        <r>
          <rPr>
            <sz val="8"/>
            <color indexed="81"/>
            <rFont val="Tahoma"/>
            <family val="2"/>
            <charset val="238"/>
          </rPr>
          <t xml:space="preserve">
2013.06.24-től változott a befektetési politika, előtte pénzpiaci alap volt</t>
        </r>
      </text>
    </comment>
    <comment ref="G550" authorId="3">
      <text>
        <r>
          <rPr>
            <b/>
            <sz val="8"/>
            <color indexed="81"/>
            <rFont val="Tahoma"/>
            <family val="2"/>
            <charset val="238"/>
          </rPr>
          <t>litresits:</t>
        </r>
        <r>
          <rPr>
            <sz val="8"/>
            <color indexed="81"/>
            <rFont val="Tahoma"/>
            <family val="2"/>
            <charset val="238"/>
          </rPr>
          <t xml:space="preserve">
2013.01.01-től változott a befektetési politika, előtte kiegyensúlyozott vegyes alap volt</t>
        </r>
      </text>
    </comment>
    <comment ref="G552" authorId="3">
      <text>
        <r>
          <rPr>
            <b/>
            <sz val="8"/>
            <color indexed="81"/>
            <rFont val="Tahoma"/>
            <family val="2"/>
            <charset val="238"/>
          </rPr>
          <t>litresits:</t>
        </r>
        <r>
          <rPr>
            <sz val="8"/>
            <color indexed="81"/>
            <rFont val="Tahoma"/>
            <family val="2"/>
            <charset val="238"/>
          </rPr>
          <t xml:space="preserve">
2013.07.18-tól változott a befektetési politika, előtte dinamikus vegyes alap volt</t>
        </r>
      </text>
    </comment>
    <comment ref="K558" authorId="3">
      <text>
        <r>
          <rPr>
            <b/>
            <sz val="8"/>
            <color indexed="81"/>
            <rFont val="Tahoma"/>
            <family val="2"/>
            <charset val="238"/>
          </rPr>
          <t>litresits:</t>
        </r>
        <r>
          <rPr>
            <sz val="8"/>
            <color indexed="81"/>
            <rFont val="Tahoma"/>
            <family val="2"/>
            <charset val="238"/>
          </rPr>
          <t xml:space="preserve">
143,21 Ft befektetési jegyenként</t>
        </r>
      </text>
    </comment>
  </commentList>
</comments>
</file>

<file path=xl/comments2.xml><?xml version="1.0" encoding="utf-8"?>
<comments xmlns="http://schemas.openxmlformats.org/spreadsheetml/2006/main">
  <authors>
    <author>holperte</author>
    <author>litresits</author>
  </authors>
  <commentList>
    <comment ref="F46" authorId="0">
      <text>
        <r>
          <rPr>
            <b/>
            <sz val="9"/>
            <color indexed="81"/>
            <rFont val="Tahoma"/>
            <family val="2"/>
            <charset val="238"/>
          </rPr>
          <t>holperte:</t>
        </r>
        <r>
          <rPr>
            <sz val="9"/>
            <color indexed="81"/>
            <rFont val="Tahoma"/>
            <family val="2"/>
            <charset val="238"/>
          </rPr>
          <t xml:space="preserve">
2013.04.15-től nem származtatott alap</t>
        </r>
      </text>
    </comment>
    <comment ref="G47" authorId="0">
      <text>
        <r>
          <rPr>
            <b/>
            <sz val="9"/>
            <color indexed="81"/>
            <rFont val="Tahoma"/>
            <family val="2"/>
            <charset val="238"/>
          </rPr>
          <t>holperte:</t>
        </r>
        <r>
          <rPr>
            <sz val="9"/>
            <color indexed="81"/>
            <rFont val="Tahoma"/>
            <family val="2"/>
            <charset val="238"/>
          </rPr>
          <t xml:space="preserve">
2013.04.15-én Tőkevédettről változott (nincs Garantált alap a listában)</t>
        </r>
      </text>
    </comment>
    <comment ref="G50" authorId="0">
      <text>
        <r>
          <rPr>
            <b/>
            <sz val="9"/>
            <color indexed="81"/>
            <rFont val="Tahoma"/>
            <family val="2"/>
            <charset val="238"/>
          </rPr>
          <t>holperte:</t>
        </r>
        <r>
          <rPr>
            <sz val="9"/>
            <color indexed="81"/>
            <rFont val="Tahoma"/>
            <family val="2"/>
            <charset val="238"/>
          </rPr>
          <t xml:space="preserve">
2014.05.12-től pénzpiaci</t>
        </r>
      </text>
    </comment>
    <comment ref="G51" authorId="0">
      <text>
        <r>
          <rPr>
            <b/>
            <sz val="9"/>
            <color indexed="81"/>
            <rFont val="Tahoma"/>
            <family val="2"/>
            <charset val="238"/>
          </rPr>
          <t>holperte:</t>
        </r>
        <r>
          <rPr>
            <sz val="9"/>
            <color indexed="81"/>
            <rFont val="Tahoma"/>
            <family val="2"/>
            <charset val="238"/>
          </rPr>
          <t xml:space="preserve">
2014.05.12-től pénzpiaci</t>
        </r>
      </text>
    </comment>
    <comment ref="G527" authorId="1">
      <text>
        <r>
          <rPr>
            <b/>
            <sz val="8"/>
            <color indexed="81"/>
            <rFont val="Tahoma"/>
            <family val="2"/>
            <charset val="238"/>
          </rPr>
          <t>litresits:</t>
        </r>
        <r>
          <rPr>
            <sz val="8"/>
            <color indexed="81"/>
            <rFont val="Tahoma"/>
            <family val="2"/>
            <charset val="238"/>
          </rPr>
          <t xml:space="preserve">
2013.06.24-től változott a befektetési politika, előtte pénzpiaci alap volt</t>
        </r>
      </text>
    </comment>
    <comment ref="G532" authorId="1">
      <text>
        <r>
          <rPr>
            <b/>
            <sz val="8"/>
            <color indexed="81"/>
            <rFont val="Tahoma"/>
            <family val="2"/>
            <charset val="238"/>
          </rPr>
          <t>litresits:</t>
        </r>
        <r>
          <rPr>
            <sz val="8"/>
            <color indexed="81"/>
            <rFont val="Tahoma"/>
            <family val="2"/>
            <charset val="238"/>
          </rPr>
          <t xml:space="preserve">
2013.01.01-től változott a befektetési politika, előtte kiegyensúlyozott vegyes alap volt</t>
        </r>
      </text>
    </comment>
    <comment ref="G534" authorId="1">
      <text>
        <r>
          <rPr>
            <b/>
            <sz val="8"/>
            <color indexed="81"/>
            <rFont val="Tahoma"/>
            <family val="2"/>
            <charset val="238"/>
          </rPr>
          <t>litresits:</t>
        </r>
        <r>
          <rPr>
            <sz val="8"/>
            <color indexed="81"/>
            <rFont val="Tahoma"/>
            <family val="2"/>
            <charset val="238"/>
          </rPr>
          <t xml:space="preserve">
2013.07.18-tól változott a befektetési politika, előtte dinamikus vegyes alap volt</t>
        </r>
      </text>
    </comment>
  </commentList>
</comments>
</file>

<file path=xl/sharedStrings.xml><?xml version="1.0" encoding="utf-8"?>
<sst xmlns="http://schemas.openxmlformats.org/spreadsheetml/2006/main" count="11873" uniqueCount="1483">
  <si>
    <t>Letétkezelési díj (Tájékoztató alapján) %-ban</t>
  </si>
  <si>
    <t>Devizanem</t>
  </si>
  <si>
    <t>Alapkezelési díj 
(Tájékoztató alapján) %-ban</t>
  </si>
  <si>
    <t>Főkönyvi adatok</t>
  </si>
  <si>
    <t>Hozamfizetés dátuma</t>
  </si>
  <si>
    <t>Sikerdíj 
(Tájékoztató alapján) %-ban</t>
  </si>
  <si>
    <t>Futamidő</t>
  </si>
  <si>
    <t>Alap fajta</t>
  </si>
  <si>
    <t>Típus</t>
  </si>
  <si>
    <t>Befektetési politika</t>
  </si>
  <si>
    <t>Földrajzi, devizális kitettség</t>
  </si>
  <si>
    <t>A KIID-ben feltüntetett folyó díjterhelési mutató (%)</t>
  </si>
  <si>
    <t>Visszatérítések</t>
  </si>
  <si>
    <t>A visszatérítés mértéke
(Ft / deviza)</t>
  </si>
  <si>
    <t>Implicit költségek</t>
  </si>
  <si>
    <t>Díjterhelési mutató</t>
  </si>
  <si>
    <t>Egyéb, a tájékoztatóban %-os formában meghatározott díjak összesen, %-ban</t>
  </si>
  <si>
    <t>A tájékoztatóban %-ban meghatározott maximális díjterhelés</t>
  </si>
  <si>
    <t>A 10 %-nál nagyobb arányt jelentő kollektív értékpapírokba történő befektetéshez kapcsolódó arányosított, összesített folyó díjterhelési mutató
(%)</t>
  </si>
  <si>
    <t>A sikerdíj elszámolás gyakorisága</t>
  </si>
  <si>
    <t>Alap (sorozat) megnevezése</t>
  </si>
  <si>
    <t>Az alap (sorozat) ISIN kódja</t>
  </si>
  <si>
    <t>Az alap (sorozat) átlagos nettó eszközértéke</t>
  </si>
  <si>
    <t>Nettó eszközérték és hozamadatok</t>
  </si>
  <si>
    <t>Tájékoztatóban szereplő adatok (az alap, sorozat devizanemének egységében)</t>
  </si>
  <si>
    <t xml:space="preserve">Az alapra terhelt összes költség
</t>
  </si>
  <si>
    <t xml:space="preserve">Az alapra terhelt alapkezelési díj 
</t>
  </si>
  <si>
    <t xml:space="preserve">Az alapra terhelt sikerdíj 
</t>
  </si>
  <si>
    <t xml:space="preserve">Az alapra terhelt eladási, visszaváltási, forgalmazási jutalék
</t>
  </si>
  <si>
    <t xml:space="preserve">Az alapra terhelt letétkezelési díj 
</t>
  </si>
  <si>
    <t xml:space="preserve">Az alapra terhelt könyvelési, könyvvizsgálói díj
</t>
  </si>
  <si>
    <t xml:space="preserve">Az alapra terhelt felügyeleti díj
</t>
  </si>
  <si>
    <t xml:space="preserve">Az alapra terhelt marketing költség
</t>
  </si>
  <si>
    <t xml:space="preserve">Az alapra terhelt ingatlanértékelői díj
</t>
  </si>
  <si>
    <t xml:space="preserve">Az értékpapírok kereskedési költségei összesen
</t>
  </si>
  <si>
    <t xml:space="preserve">ezen belül: a 10 %-nál nagyobb arányt jelentő kollektív értékpapírokba történő befektetés kapcsán felmerült költségek
</t>
  </si>
  <si>
    <t xml:space="preserve">Bankköltség
</t>
  </si>
  <si>
    <t xml:space="preserve">Ingatlan alapokra terhelt értékcsökkenés, továbbszámlázott közüzemi díjak, egyéb költségek
</t>
  </si>
  <si>
    <t xml:space="preserve">Az alapra terhelt egyéb költségek
</t>
  </si>
  <si>
    <t>2013-ban kifizetett hozam
Ft-ban</t>
  </si>
  <si>
    <t>2013. évi hozam
%-ban</t>
  </si>
  <si>
    <t>2013. évi referencia hozam
%-ban</t>
  </si>
  <si>
    <t>HU0000702543</t>
  </si>
  <si>
    <t>Nyíltvégű</t>
  </si>
  <si>
    <t>Határozatlan</t>
  </si>
  <si>
    <t>Hazai</t>
  </si>
  <si>
    <t>HUF</t>
  </si>
  <si>
    <t>HU0000704119</t>
  </si>
  <si>
    <t>Hosszú kötvényalap</t>
  </si>
  <si>
    <t>Futura Kötvény Alap B sorozat</t>
  </si>
  <si>
    <t>HU0000702550</t>
  </si>
  <si>
    <t>Futura Kötvény Alap I sorozat</t>
  </si>
  <si>
    <t>HU0000705942</t>
  </si>
  <si>
    <t>Aberdeen Konzervatív Vegyes Alapokba Befektető Alap megszűnési eljárás alatt</t>
  </si>
  <si>
    <t>HU0000703517</t>
  </si>
  <si>
    <t>Alapok alapja</t>
  </si>
  <si>
    <t>Közvetett ingatlanokba fektető alap</t>
  </si>
  <si>
    <t>HU0000702980</t>
  </si>
  <si>
    <t>Részvényalap</t>
  </si>
  <si>
    <t>Aberdeen Diversified Growth Alapok Alapja B sorozat</t>
  </si>
  <si>
    <t>HU0000704549</t>
  </si>
  <si>
    <t>Dinamikus vegyes alap</t>
  </si>
  <si>
    <t>Külföldi</t>
  </si>
  <si>
    <t>Aberdeen Diversified Growth Alapok Alapja I sorozat</t>
  </si>
  <si>
    <t>HU0000704556</t>
  </si>
  <si>
    <t>Aberdeen Ingatlan Alapokba Befektető Alap megszűnési eljárás alatt</t>
  </si>
  <si>
    <t>HU0000703301</t>
  </si>
  <si>
    <t>Aberdeen Euró Ingatlan Alapokba Befektető Alap B megszűnési eljárás alatt</t>
  </si>
  <si>
    <t>HU0000703509</t>
  </si>
  <si>
    <t>EUR</t>
  </si>
  <si>
    <t>Aberdeen Euró Ingatlan Alapokba Befektető Alap I megszűnési eljárás alatt</t>
  </si>
  <si>
    <t>HU0000703822</t>
  </si>
  <si>
    <t>HU0000709209</t>
  </si>
  <si>
    <t>HU0000711080</t>
  </si>
  <si>
    <t>HU0000711072</t>
  </si>
  <si>
    <t>Futura Rövid Futamidejű Kötvény Alap B sorozat</t>
  </si>
  <si>
    <t>Futura Rövid Futamidejű Kötvény Alap I sorozat</t>
  </si>
  <si>
    <t>Futura Részvény Indexkövető Alap</t>
  </si>
  <si>
    <t>Aberdeen Latin Amerika Részvény Alapok Alapja</t>
  </si>
  <si>
    <t>Aberdeen Euró Vállalati Kötvény Alapok Alapja</t>
  </si>
  <si>
    <t>Aberdeen Feltörekvő Piaci Kötvény Alapok Alapja</t>
  </si>
  <si>
    <t>Rövid kötvényalap</t>
  </si>
  <si>
    <t>igen</t>
  </si>
  <si>
    <t>Alapkezelő</t>
  </si>
  <si>
    <t>Access</t>
  </si>
  <si>
    <t>Aberdeen</t>
  </si>
  <si>
    <t>iCash Conservatíve Nyíltvégű Befektetési Alap</t>
  </si>
  <si>
    <t>HU0000704366</t>
  </si>
  <si>
    <t>Kötvénytúlsúlyos vegyes alap</t>
  </si>
  <si>
    <t>1.65% min. díj: 500.000.-Ft/hó</t>
  </si>
  <si>
    <t>A befektetési alap Teljesítménydíjat fizet a vezető forgalmazónak, ha az Alap hozama meghaladja az RMAX  index hozamát. A Teljesítménydíj mértéke az alap RMAX index hozamán felül elért hozam 30 %-a</t>
  </si>
  <si>
    <t>havi</t>
  </si>
  <si>
    <t>nincs</t>
  </si>
  <si>
    <t>Access PP Deposit Nyíltvégű Befektetési Alap</t>
  </si>
  <si>
    <t>HU0000701826</t>
  </si>
  <si>
    <t>Access Mentor Selection Nyíltvégű Befektetési Alap</t>
  </si>
  <si>
    <t>HU0000711817</t>
  </si>
  <si>
    <t>Abszolút hozamú alap</t>
  </si>
  <si>
    <t>Access Global Selection Nyíltvégű Befektetési Alap</t>
  </si>
  <si>
    <t>HU0000701990</t>
  </si>
  <si>
    <t>2013.05.31-ig:1.65, 2013.06.01-től: 1.5%</t>
  </si>
  <si>
    <t>2013.06.30-ig: havi, 2013.07.01-től éves</t>
  </si>
  <si>
    <t>iCash Dynamic FX Származtatott Nyíltvégű Befektetési Alap</t>
  </si>
  <si>
    <t>HU0000702311</t>
  </si>
  <si>
    <t>2013.12.20-ig: havi, 2013.12.23-tól: éves</t>
  </si>
  <si>
    <t>Chrono Származtatott Nyíltvégű Befektetési Alap</t>
  </si>
  <si>
    <t>HU0000701933</t>
  </si>
  <si>
    <t>2013.02.10-ig: 1.65% 2013.02.11-től: 0.8 % min. díj: 250.000.-Ft/hó</t>
  </si>
  <si>
    <t>éves</t>
  </si>
  <si>
    <t>Első Magyar Daytrade Származtatott Nyíltvégű Befektetési Alap</t>
  </si>
  <si>
    <t>HU0000706783</t>
  </si>
  <si>
    <t>Access Alternative Származtatott Nyíltvégű Befektetési Alap</t>
  </si>
  <si>
    <t>HU0000706437</t>
  </si>
  <si>
    <t>2013.07.29-ig:havi, 2013.08.01-től: éves</t>
  </si>
  <si>
    <t>Capitol Nyíltvégű Ingatlan Befektetési Alap</t>
  </si>
  <si>
    <t>HU0000703186</t>
  </si>
  <si>
    <t>Közvetlen ingatlanokba fektető alap</t>
  </si>
  <si>
    <t>Eladott ingatlan után sikerdíj illeti meg az Alapkezelőt abban az esetben, ha az eladott ingatlan eladási ára magasabb, mint az Alap nettó eszközértékében szereplő nyilvántartási ár, vagy az adott ingatlan eladásának meghiúsulásával összefüggésben egyéb, a nyilvántartási értéke feletti bevétel keletkezik (kártérítés, foglaló, elállási kötbér stb.). A sikerdíj mértéke a két érték különbözetének vagy a nyilvántartásu értéke feletti egyéb bevételnek az 50 %-a</t>
  </si>
  <si>
    <t>egyéb</t>
  </si>
  <si>
    <t>Allianz Pénzpiaci Nyilvános Nyíltvégű Alap</t>
  </si>
  <si>
    <t>HU0000707146</t>
  </si>
  <si>
    <t>Allianz</t>
  </si>
  <si>
    <t>-</t>
  </si>
  <si>
    <t>Allianz Kötvény Nyilvános Nyíltvégű Alap</t>
  </si>
  <si>
    <t>HU0000708201</t>
  </si>
  <si>
    <t>Allianz Indexkövető Részvény Nyilvános Nyíltvégű Alap</t>
  </si>
  <si>
    <t>HU0000708375</t>
  </si>
  <si>
    <t>Allianz Stabilitás Befektetési Alap</t>
  </si>
  <si>
    <t>HU0000709142</t>
  </si>
  <si>
    <t>Biggeorge's-NV 4. Ingatlanforgalmazó Befektetési Alap</t>
  </si>
  <si>
    <t>HU0000706049</t>
  </si>
  <si>
    <t>Biggeorge</t>
  </si>
  <si>
    <t>Ingatlanalap</t>
  </si>
  <si>
    <t>Budapest Agrár Nyíltvégű Pénzpiaci Alapok Alapja</t>
  </si>
  <si>
    <t>HU0000706767</t>
  </si>
  <si>
    <t>Budapest</t>
  </si>
  <si>
    <t>nincs referencia</t>
  </si>
  <si>
    <t>max 1%</t>
  </si>
  <si>
    <t>0.04% de min 50000 Ft</t>
  </si>
  <si>
    <t>Budapest Aranytrió 2. Nyíltvégű Pénzpiaci Alapok Alapja</t>
  </si>
  <si>
    <t>HU0000703996</t>
  </si>
  <si>
    <t>0.05% de min 50000 Ft</t>
  </si>
  <si>
    <t>Budapest Aranytrió 3. Nyíltvégű Pénzpiaci Alapok Alapja</t>
  </si>
  <si>
    <t>HU0000704069</t>
  </si>
  <si>
    <t>Budapest Aranytrió Tőkevédett Nyíltvégű Pénzpiaci Alapok Alapja</t>
  </si>
  <si>
    <t>HU0000703368</t>
  </si>
  <si>
    <t>Budapest Dupla Trend Nyíltvégű Pénzpiaci Alapok Alapja</t>
  </si>
  <si>
    <t>HU0000704481</t>
  </si>
  <si>
    <t>Budapest Metálmix Nyíltvégű  Pénzpiaci Alapok Alapja</t>
  </si>
  <si>
    <t>HU0000705439</t>
  </si>
  <si>
    <t>Budapest Világválogatott Nyíltvégű Pénzpiaci Alapok Alapja</t>
  </si>
  <si>
    <t>HU0000704317</t>
  </si>
  <si>
    <t>Budapest Állampapír Alap</t>
  </si>
  <si>
    <t>HU0000702691</t>
  </si>
  <si>
    <t>max 1.5%</t>
  </si>
  <si>
    <t>0.039% + felmerült költségek</t>
  </si>
  <si>
    <t>Budapest Állampapír Alap A sorozat</t>
  </si>
  <si>
    <t>Budapest Állampapír Alap U sorozat</t>
  </si>
  <si>
    <t>HU0000712922</t>
  </si>
  <si>
    <t>Budapest Bonitas Alap</t>
  </si>
  <si>
    <t>HU0000702725</t>
  </si>
  <si>
    <t>0.04% + felmerült költségek</t>
  </si>
  <si>
    <t>Budapest Bonitas Alap A sorozat</t>
  </si>
  <si>
    <t>Budapest Bonitas Alap U sorozat</t>
  </si>
  <si>
    <t>HU0000712914</t>
  </si>
  <si>
    <t>Budapest Bonitas Plus Alap</t>
  </si>
  <si>
    <t>HU0000702444</t>
  </si>
  <si>
    <t>max 0.9%</t>
  </si>
  <si>
    <t>Budapest Bonitas Plus Alap A sorozat</t>
  </si>
  <si>
    <t>Budapest Bonitas Plus Alap D sorozat</t>
  </si>
  <si>
    <t>HU0000708383</t>
  </si>
  <si>
    <t>Budapest Bonitas Plus Alap I sorozat</t>
  </si>
  <si>
    <t>HU0000713425</t>
  </si>
  <si>
    <t>Budapest Pénzpiaci Tőkevédett Alap</t>
  </si>
  <si>
    <t>HU0000702733</t>
  </si>
  <si>
    <t>max 2.5%</t>
  </si>
  <si>
    <t>0.03% + felmerült költségek</t>
  </si>
  <si>
    <t>Sberbank Pénzpiaci Befektetési Alap</t>
  </si>
  <si>
    <t>HU0000703285</t>
  </si>
  <si>
    <t>0.08% + felmerült költségek</t>
  </si>
  <si>
    <t>Budapest 2015 Alap</t>
  </si>
  <si>
    <t>HU0000709274</t>
  </si>
  <si>
    <t>max 3%</t>
  </si>
  <si>
    <t>Budapest 2016 Alapok Alapja</t>
  </si>
  <si>
    <t>HU0000706056</t>
  </si>
  <si>
    <t>Budapest Arany Alapok Alapja</t>
  </si>
  <si>
    <t>HU0000709290</t>
  </si>
  <si>
    <t>Budapest Arany Alapok Alapja A sorozat</t>
  </si>
  <si>
    <t>Budapest Arany Alapok Alapja U sorozat</t>
  </si>
  <si>
    <t>HU0000712898</t>
  </si>
  <si>
    <t>Budapest Egyensúly Alap</t>
  </si>
  <si>
    <t>HU0000713466</t>
  </si>
  <si>
    <t>Budapest Global100 Plusz Hozamvédett Alap</t>
  </si>
  <si>
    <t>HU0000712815</t>
  </si>
  <si>
    <t>0.05% + felmerült költségek</t>
  </si>
  <si>
    <t>Budapest Global90 Plusz Alap</t>
  </si>
  <si>
    <t>HU0000712807</t>
  </si>
  <si>
    <t>Budapest Horizont 2. Tőkevédett Alap</t>
  </si>
  <si>
    <t>HU0000711650</t>
  </si>
  <si>
    <t>Budapest Horizont Tőkevédett Alap</t>
  </si>
  <si>
    <t>HU0000711221</t>
  </si>
  <si>
    <t>Budapest Ingatlan Alapok Alapja - Összegző</t>
  </si>
  <si>
    <t>HU0000703004</t>
  </si>
  <si>
    <t>Budapest Ingatlan Alapok Alapja A sorozat</t>
  </si>
  <si>
    <t>max 0.4%</t>
  </si>
  <si>
    <t>Budapest Ingatlan Alapok Alapja IL sorozat</t>
  </si>
  <si>
    <t>HU0000712880</t>
  </si>
  <si>
    <t>max 0%</t>
  </si>
  <si>
    <t>Budapest Kötvény Alap</t>
  </si>
  <si>
    <t>HU0000702709</t>
  </si>
  <si>
    <t>Budapest Kötvény Alap A sorozat</t>
  </si>
  <si>
    <t>Budapest Kötvény Alap U sorozat</t>
  </si>
  <si>
    <t>HU0000712930</t>
  </si>
  <si>
    <t>Budapest Spectrum Hozamvédett Alap</t>
  </si>
  <si>
    <t>HU0000711759</t>
  </si>
  <si>
    <t>Budapest US100 Plusz Hozamvédett Alap</t>
  </si>
  <si>
    <t>HU0000712344</t>
  </si>
  <si>
    <t>Budapest US95 Plusz Alap</t>
  </si>
  <si>
    <t>HU0000712351</t>
  </si>
  <si>
    <t>max 2%</t>
  </si>
  <si>
    <t>Budapest Zenit Alapok Alapja</t>
  </si>
  <si>
    <t>HU0000709282</t>
  </si>
  <si>
    <t>GE Money Abszolút Kötvény Alapok Alapja</t>
  </si>
  <si>
    <t>HU0000710819</t>
  </si>
  <si>
    <t>GE Money Balancovany Alap</t>
  </si>
  <si>
    <t>HU0000707187</t>
  </si>
  <si>
    <t>CZK</t>
  </si>
  <si>
    <t>GE Money Bonus Abszolút Hozam Alapok Alapja</t>
  </si>
  <si>
    <t>HU0000712153</t>
  </si>
  <si>
    <t>1 mrd alatt 0,04%, 1 mrd fölött 0,035% + felmerült költségek</t>
  </si>
  <si>
    <t>GE Money Chraneny Alap</t>
  </si>
  <si>
    <t>HU0000705785</t>
  </si>
  <si>
    <t>GE Money Devizapiaci Abszolút Hozam Alap</t>
  </si>
  <si>
    <t>HU0000711676</t>
  </si>
  <si>
    <t>GE Money Devizapiaci Abszolút Hozam Alap A sorozat</t>
  </si>
  <si>
    <t>GE Money Devizapiaci Abszolút Hozam Alap U sorozat</t>
  </si>
  <si>
    <t>HU0000713029</t>
  </si>
  <si>
    <t>GE Money Dollár Rövid Kötvény Alap</t>
  </si>
  <si>
    <t>HU0000711668</t>
  </si>
  <si>
    <t>USD</t>
  </si>
  <si>
    <t>max 1.2%</t>
  </si>
  <si>
    <t>GE Money Dollár Rövid Kötvény Alap U Sorozat</t>
  </si>
  <si>
    <t>HU0000712963</t>
  </si>
  <si>
    <t>GE Money Dollár Rövid Kötvény Alap USD Sorozat</t>
  </si>
  <si>
    <t>GE Money EMEA Részvény Alap</t>
  </si>
  <si>
    <t>HU0000707039</t>
  </si>
  <si>
    <t>GE Money EMEA Részvény Alap CZK sorozat</t>
  </si>
  <si>
    <t>HU0000707120</t>
  </si>
  <si>
    <t>GE Money EMEA Részvény Alap EUR sorozat</t>
  </si>
  <si>
    <t>GE Money EMEA Részvény Alap HUF sorozat</t>
  </si>
  <si>
    <t>HU0000709837</t>
  </si>
  <si>
    <t>GE Money EMEA Részvény Alap U sorozat</t>
  </si>
  <si>
    <t>HU0000712989</t>
  </si>
  <si>
    <t>GE Money Euró Rövid Kötvény Alap</t>
  </si>
  <si>
    <t>HU0000701560</t>
  </si>
  <si>
    <t>0.09% + felmerült költségek</t>
  </si>
  <si>
    <t>könyvelés</t>
  </si>
  <si>
    <t>GE Money Euró Rövid Kötvény EUR Sorozat</t>
  </si>
  <si>
    <t>HU0000706429</t>
  </si>
  <si>
    <t>GE Money Euró Rövid Kötvény HUF Sorozat</t>
  </si>
  <si>
    <t>GE Money Euró Rövid Kötvény U Sorozat</t>
  </si>
  <si>
    <t>HU0000712948</t>
  </si>
  <si>
    <t>GE Money Fejlett Piaci Részvény Alap</t>
  </si>
  <si>
    <t>HU0000701552</t>
  </si>
  <si>
    <t>0.13% + felmerült költségek</t>
  </si>
  <si>
    <t>GE Money Fejlett Piaci Részvény Alap A sorozat</t>
  </si>
  <si>
    <t>GE Money Fejlett Piaci Részvény Alap U sorozat</t>
  </si>
  <si>
    <t>HU0000713003</t>
  </si>
  <si>
    <t>GE Money Feltörekvő Piaci DevizaKötvény Alap</t>
  </si>
  <si>
    <t>HU0000708615</t>
  </si>
  <si>
    <t>0.018% + felmerült költségek</t>
  </si>
  <si>
    <t>GE Money Feltörekvő Piaci DevizaKötvény Alap CZK sorozat</t>
  </si>
  <si>
    <t>HU0000709860</t>
  </si>
  <si>
    <t>GE Money Feltörekvő Piaci DevizaKötvény Alap HUF sorozat</t>
  </si>
  <si>
    <t>GE Money Feltörekvő Piaci DevizaKötvény Alap U sorozat</t>
  </si>
  <si>
    <t>HU0000712955</t>
  </si>
  <si>
    <t>GE Money Feltörekvő Piaci DevizaKötvény Alap USD</t>
  </si>
  <si>
    <t>HU0000711239</t>
  </si>
  <si>
    <t>GE Money Feltörekvő Piaci Részvény Alap</t>
  </si>
  <si>
    <t>HU0000708623</t>
  </si>
  <si>
    <t>0.023% + felmerült költségek</t>
  </si>
  <si>
    <t>GE Money Feltörekvő Piaci Részvény Alap CZK sorozat</t>
  </si>
  <si>
    <t>HU0000709852</t>
  </si>
  <si>
    <t>GE Money Feltörekvő Piaci Részvény Alap HUF sorozat</t>
  </si>
  <si>
    <t>GE Money Feltörekvő Piaci Részvény Alap U sorozat</t>
  </si>
  <si>
    <t>HU0000712997</t>
  </si>
  <si>
    <t>GE Money Franklin Templeton Alapok Alapja</t>
  </si>
  <si>
    <t>HU0000710595</t>
  </si>
  <si>
    <t>GE Money Kontroll Abszolút Hozam Alap</t>
  </si>
  <si>
    <t>HU0000702741</t>
  </si>
  <si>
    <t>0.07% + felmerült költségek</t>
  </si>
  <si>
    <t>GE Money Kontroll Abszolút Hozam Alap A sorozat</t>
  </si>
  <si>
    <t>GE Money Kontroll Abszolút Hozam Alap U sorozat</t>
  </si>
  <si>
    <t>HU0000713011</t>
  </si>
  <si>
    <t>GE Money Konzervativni Alap</t>
  </si>
  <si>
    <t>HU0000709308</t>
  </si>
  <si>
    <t>GE Money Közép-Európai Részvény Alap</t>
  </si>
  <si>
    <t>HU0000702717</t>
  </si>
  <si>
    <t>GE Money Köz-Eu Részvény Alap CZK Sorozat</t>
  </si>
  <si>
    <t>HU0000709845</t>
  </si>
  <si>
    <t>GE Money Köz-Eu Részvény Alap EUR Sorozat</t>
  </si>
  <si>
    <t>HU0000706387</t>
  </si>
  <si>
    <t>GE Money Köz-Eu Részvény Alap HUF Sorozat</t>
  </si>
  <si>
    <t>GE Money Köz-Eu Részvény Alap U Sorozat</t>
  </si>
  <si>
    <t>HU0000712971</t>
  </si>
  <si>
    <t>GE Money Nyersanyag Alapok Alapja</t>
  </si>
  <si>
    <t>HU0000704374</t>
  </si>
  <si>
    <t>GE Money Nyersanyag Alapok Alapja A sorozat</t>
  </si>
  <si>
    <t>GE Money Nyersanyag Alapok Alapja U sorozat</t>
  </si>
  <si>
    <t>HU0000712906</t>
  </si>
  <si>
    <t>GE Money Paradigma Alap</t>
  </si>
  <si>
    <t>HU0000713409</t>
  </si>
  <si>
    <t>HU0000706031</t>
  </si>
  <si>
    <t>CIB Hozamgarantált Betét Alap</t>
  </si>
  <si>
    <t>HU0000703582</t>
  </si>
  <si>
    <t>CIB</t>
  </si>
  <si>
    <t>CIB Pénzpiaci Alap</t>
  </si>
  <si>
    <t>HU0000702576</t>
  </si>
  <si>
    <t>CIB Euró Pénzpiaci Alap</t>
  </si>
  <si>
    <t>HU0000703764</t>
  </si>
  <si>
    <t>CIB Algoritmus Alapok Alapja</t>
  </si>
  <si>
    <t>HU0000710132</t>
  </si>
  <si>
    <t>CIB Kincsem Kötvény Alap</t>
  </si>
  <si>
    <t>HU0000702592</t>
  </si>
  <si>
    <t>CIB Ingatlan Alapok Alapja</t>
  </si>
  <si>
    <t>HU0000703038</t>
  </si>
  <si>
    <t>CIB Közép-európai Részvény Alap</t>
  </si>
  <si>
    <t>HU0000702600</t>
  </si>
  <si>
    <t>CIB Fejlett Részvénypiaci Alapok Alapja</t>
  </si>
  <si>
    <t>HU0000702584</t>
  </si>
  <si>
    <t>CIB Indexkövető Részvény Alap</t>
  </si>
  <si>
    <t>HU0000703350</t>
  </si>
  <si>
    <t>CIB Feltörekvő Részvénypiaci Alapok Alapja</t>
  </si>
  <si>
    <t>HU0000706353</t>
  </si>
  <si>
    <t>CIB Nyersanyag Alapok Alapja</t>
  </si>
  <si>
    <t>HU0000704234</t>
  </si>
  <si>
    <t>CIB Dupla Profit Tőkevédett Származtatott Alap</t>
  </si>
  <si>
    <t>HU0000708789</t>
  </si>
  <si>
    <t>CIB Atlantika Tőkevédett Származtatott Alap</t>
  </si>
  <si>
    <t>HU0000710256</t>
  </si>
  <si>
    <t>CIB Euró Szélessáv Tőkevédett Származtatott Alap</t>
  </si>
  <si>
    <t>HU0000711627</t>
  </si>
  <si>
    <t>CIB Szélessáv Tőkevédett Származtatott Alap</t>
  </si>
  <si>
    <t>HU0000711635</t>
  </si>
  <si>
    <t>CIB Luxusmárkák Tőkevédett Származtatott Alapja</t>
  </si>
  <si>
    <t>HU0000711643</t>
  </si>
  <si>
    <t>CITADELLA SZÁRMAZTATOTT BEFEKTETÉSI ALAP</t>
  </si>
  <si>
    <t>HU0000707948</t>
  </si>
  <si>
    <t>Concorde</t>
  </si>
  <si>
    <t xml:space="preserve"> max. 2.25%</t>
  </si>
  <si>
    <t>a benchmark feletti többlethozam 20 százaléka</t>
  </si>
  <si>
    <t>max 0.2%</t>
  </si>
  <si>
    <t>nincs meghatározva</t>
  </si>
  <si>
    <t>mindenkori PSZÁF díj (jelenleg éves 0.025%)</t>
  </si>
  <si>
    <t>CONCORDE 2000 NYÍLTVÉGÛ BEFEKTETÉSI ALAP</t>
  </si>
  <si>
    <t>HU0000701693</t>
  </si>
  <si>
    <t>CONCORDE 2016 DEVIZÁS VÁLLALATI KÖTVÉNY SZÁRMAZTATOTT BEFEKTETÉSI ALAP</t>
  </si>
  <si>
    <t>HU0000711148</t>
  </si>
  <si>
    <t xml:space="preserve"> max. 2.0%</t>
  </si>
  <si>
    <t>egyéb (lejáratkor kerül elszámolásra)</t>
  </si>
  <si>
    <t>max 0.15%</t>
  </si>
  <si>
    <t>CONCORDE COLUMBUS GLOBÁLIS ÉRTÉKALAPÚ SZÁRMAZTATOTT BEFEKTETÉSI ALAP</t>
  </si>
  <si>
    <t>HU0000705702</t>
  </si>
  <si>
    <t xml:space="preserve">CONCORDE EURÓ PÉNZPIACI BEFEKTETÉSI ALAP </t>
  </si>
  <si>
    <t>HU0000705868</t>
  </si>
  <si>
    <t>Pénzpiaci alap</t>
  </si>
  <si>
    <t>max 0.1%</t>
  </si>
  <si>
    <t>CONCORDE KÖTVÉNY BEFEKTETÉSI ALAP</t>
  </si>
  <si>
    <t>HU0000702030</t>
  </si>
  <si>
    <t xml:space="preserve">CONCORDE KÖZÉP-EURÓPAI RÉSZVÉNY BEFEKTETÉSI ALAP </t>
  </si>
  <si>
    <t>HU0000706163</t>
  </si>
  <si>
    <t>CONCORDE NEMZETKÖZI RÉSZVÉNY ALAPOK ALAPJA</t>
  </si>
  <si>
    <t>HU0000702295</t>
  </si>
  <si>
    <t>CONCORDE PB1 ALAPOK ALAPJA</t>
  </si>
  <si>
    <t>HU0000704697</t>
  </si>
  <si>
    <t>CONCORDE PB2 ALAPOK ALAPJA</t>
  </si>
  <si>
    <t>HU0000704705</t>
  </si>
  <si>
    <t>CONCORDE PB3 ALAPOK ALAPJA</t>
  </si>
  <si>
    <t>HU0000704713</t>
  </si>
  <si>
    <t xml:space="preserve">CONCORDE PÉNZPIACI BEFEKTETÉSI ALAP </t>
  </si>
  <si>
    <t>HU0000701487</t>
  </si>
  <si>
    <t xml:space="preserve"> max. 5.0%</t>
  </si>
  <si>
    <t xml:space="preserve">CONCORDE RÉSZVÉNY BEFEKTETÉSI ALAP </t>
  </si>
  <si>
    <t>HU0000702022</t>
  </si>
  <si>
    <t>CONCORDE RÖVID FUTAMIDEJŰ  KÖTVÉNY BEFEKTETÉSI ALAP</t>
  </si>
  <si>
    <t>HU0000701685</t>
  </si>
  <si>
    <t xml:space="preserve">CONCORDE RUBICON SZÁRMAZTATOTT BEFEKTETÉSI ALAP </t>
  </si>
  <si>
    <t>HU0000707252</t>
  </si>
  <si>
    <t xml:space="preserve">CONCORDE USD PÉNZPIACI BEFEKTETÉSI ALAP </t>
  </si>
  <si>
    <t>HU0000705850</t>
  </si>
  <si>
    <t xml:space="preserve">CONCORDE-VM ABSZOLÚT SZÁRMAZTATOTT BEFEKTETÉSI  ALAP </t>
  </si>
  <si>
    <t>HU0000703749</t>
  </si>
  <si>
    <t>CONCORDE-VM EURO ALAPOK ALAPJA</t>
  </si>
  <si>
    <t>HU0000708938</t>
  </si>
  <si>
    <t>GENERÁCIÓ PATIKAPÉNZTÁR BEFEKTETÉSI ALAP</t>
  </si>
  <si>
    <t>HU0000708326</t>
  </si>
  <si>
    <t>NYILASI 2015 SPEKULATÍV SZÁRMAZTATOTT BEFEKTETÉSI ALAP</t>
  </si>
  <si>
    <t>HU0000708706</t>
  </si>
  <si>
    <t>Az alapkezelési, forgalmazási, letétkezelési és PSZÁF díj együttes aránya évente maximum 2,8%.</t>
  </si>
  <si>
    <t>A pozitív hozam 20%-a, a második évtől minden évben változik</t>
  </si>
  <si>
    <t>PELSO QUANT SZÁRMAZTATOTT BEFEKTETÉSI ALAP</t>
  </si>
  <si>
    <t>HU0000708730</t>
  </si>
  <si>
    <t xml:space="preserve">PLATINA ALFA SZÁRMAZTATOTT BEFEKTETÉSI ALAP </t>
  </si>
  <si>
    <t>HU0000704648</t>
  </si>
  <si>
    <t>az alapkezelőt esetlegesen megeillető díj a benchmark feletti többlethozam maximum 20 százaléka</t>
  </si>
  <si>
    <t xml:space="preserve">PLATINA BÉTA SZÁRMAZTATOTT BEFEKTETÉSI  ALAP </t>
  </si>
  <si>
    <t>HU0000704655</t>
  </si>
  <si>
    <t xml:space="preserve">PLATINA DELTA SZÁRMAZTATOTT BEFEKTETÉSI  ALAP </t>
  </si>
  <si>
    <t>az alapkezelőt esetlegesen megillető díj, amennyiben az adott évben az Alap a benchmarknál magasabb hozamot ér el.</t>
  </si>
  <si>
    <t>A és B együttes aránya max. 0.4%</t>
  </si>
  <si>
    <t>PLATINA DELTA SZÁRMAZTATOTT BEFEKTETÉSI  ALAP A SOROZAT</t>
  </si>
  <si>
    <t>HU0000704671</t>
  </si>
  <si>
    <t xml:space="preserve"> max 2.0% , az Alap sorozatainál különböző nagyságú lehet</t>
  </si>
  <si>
    <t xml:space="preserve"> az alapkezelőt esetlegesen megillető díj, „A” sorozat esetében a benchmark feletti többlethozam maximum 20 százaléka</t>
  </si>
  <si>
    <t>PLATINA DELTA SZÁRMAZTATOTT BEFEKTETÉSI  ALAP B SOROZAT</t>
  </si>
  <si>
    <t>HU0000709951</t>
  </si>
  <si>
    <t>az alapkezelőt esetlegesen megillető díj, „B” sorozat esetében a benchmark feletti többlethozam 20 százaléka</t>
  </si>
  <si>
    <t xml:space="preserve">PLATINA GAMMA SZÁRMAZTATOTT BEFEKTETÉSI  ALAP </t>
  </si>
  <si>
    <t>HU0000704663</t>
  </si>
  <si>
    <t>az alapkezelőt esetlegesen megeillető díj, a benchmark feletti többlethozam maximum 20 százaléka</t>
  </si>
  <si>
    <t xml:space="preserve">PLATINA PÍ SZÁRMAZTATOTT BEFEKTETÉSI ALAP </t>
  </si>
  <si>
    <t>az alapkezelőt esetlegesen megillető díj, a sikerdíj mértéke (legfeljebb) a benchmark feletti többlethozam 20 százaléka</t>
  </si>
  <si>
    <t>PLATINA PÍ SZÁRMAZTATOTT BEFEKTETÉSI ALAP A SOROZAT</t>
  </si>
  <si>
    <t>HU0000704689</t>
  </si>
  <si>
    <t>PLATINA PÍ SZÁRMAZTATOTT BEFEKTETÉSI ALAP B SOROZAT</t>
  </si>
  <si>
    <t>HU0000709969</t>
  </si>
  <si>
    <t>PRÉMIUM1 ALAPOK ALAPJA</t>
  </si>
  <si>
    <t>HU0000709324</t>
  </si>
  <si>
    <t xml:space="preserve"> max.1.2%</t>
  </si>
  <si>
    <t>PRÉMIUM2 ALAPOK ALAPJA</t>
  </si>
  <si>
    <t>HU0000709332</t>
  </si>
  <si>
    <t>HU0000703970</t>
  </si>
  <si>
    <t>HU0000706379</t>
  </si>
  <si>
    <t>Dialóg Likviditási Alap</t>
  </si>
  <si>
    <t>HU0000706494</t>
  </si>
  <si>
    <t>Dialóg</t>
  </si>
  <si>
    <t>max. 1,15%</t>
  </si>
  <si>
    <t>Dialóg Ingatlanfejlesztő Részvény Alap</t>
  </si>
  <si>
    <t>HU0000706519</t>
  </si>
  <si>
    <t>max. 2,7%</t>
  </si>
  <si>
    <t>Dialóg Konvergencia Részvény Alap</t>
  </si>
  <si>
    <t>HU0000706528</t>
  </si>
  <si>
    <t>Dialóg Származtatott Deviza Alap</t>
  </si>
  <si>
    <t>HU0000707732</t>
  </si>
  <si>
    <t>évente</t>
  </si>
  <si>
    <t>Dialóg EURÓ Származtatott Alap</t>
  </si>
  <si>
    <t>HU0000708714</t>
  </si>
  <si>
    <t>Dialóg Octopus SzármaztatottAlap</t>
  </si>
  <si>
    <t>HU0000709241</t>
  </si>
  <si>
    <t xml:space="preserve">Dialóg Maracana Tőkevédett Származtatott 
Alap
</t>
  </si>
  <si>
    <t>HU0000709464</t>
  </si>
  <si>
    <t>Dialóg Árupiaci SzármaztatottAlap</t>
  </si>
  <si>
    <t>HU0000711551</t>
  </si>
  <si>
    <t>max. 2,5%</t>
  </si>
  <si>
    <t>EQUILOR Afrika Befektetési Alap</t>
  </si>
  <si>
    <t>HU0000711981</t>
  </si>
  <si>
    <t>Equilor</t>
  </si>
  <si>
    <t>EQUILOR Likviditási Befektetési Alap</t>
  </si>
  <si>
    <t>HU0000711775</t>
  </si>
  <si>
    <t>EQUILOR Fregatt Prémium Kötvény Befektetési Alap</t>
  </si>
  <si>
    <t>HU0000711783</t>
  </si>
  <si>
    <t>EQUILOR Pillars Származtatott Befektetési Alap</t>
  </si>
  <si>
    <t>HU0000711791</t>
  </si>
  <si>
    <t>EQUILOR Primus Alapok Alapja</t>
  </si>
  <si>
    <t>HU0000711809</t>
  </si>
  <si>
    <t>Erste Nyíltvégű Közép-Európai Részvény Befektetési Alap 2013.10.06-ig</t>
  </si>
  <si>
    <t>Erste</t>
  </si>
  <si>
    <t>Erste Nyíltvégű Közép-Európai Részvény Alapok Alapja 2013.10.07-től</t>
  </si>
  <si>
    <t>HU0000701537</t>
  </si>
  <si>
    <t>19591.97 EUR</t>
  </si>
  <si>
    <t>Erste Nyíltvégű Rövid Kötvény Befektetési Alap</t>
  </si>
  <si>
    <t>HU0000701529</t>
  </si>
  <si>
    <t>Magyar Posta Válogatott Alap 2013.01.31-ig</t>
  </si>
  <si>
    <t>Alpok Válogatott Alap 2013.02.01-től 2013.08.04-ig</t>
  </si>
  <si>
    <t>Erste Megtakarítási Plusz Alapok Alapja 2013.08.05-től</t>
  </si>
  <si>
    <t>HU0000705488</t>
  </si>
  <si>
    <t>Erste Nyíltvégű Tőkevédett Pénzpiaci Befektetési Alap</t>
  </si>
  <si>
    <t>HU0000702006</t>
  </si>
  <si>
    <t>Magyar Posta Tőkevédett Pénzpiaci Befektetési Alap 2013.01.31-ig</t>
  </si>
  <si>
    <t>Alpok Tőkevédett Nyíltvégű Pénzpiaci Befektetési Alap 2013.02.01-től 2013.10.06-ig</t>
  </si>
  <si>
    <t>Erste Alpok Nyíltvégű Tőkevédett Pénzpiaci Befektetési Alap 2013.10.07-től</t>
  </si>
  <si>
    <t>HU0000703483</t>
  </si>
  <si>
    <t>Erste Nyíltvégű XL Kötvény Befektetési Alap</t>
  </si>
  <si>
    <t>HU0000707716</t>
  </si>
  <si>
    <t>Erste Tőkevédett Likviditási Alap</t>
  </si>
  <si>
    <t>HU0000703848</t>
  </si>
  <si>
    <t>Erste Nyíltvégű Dollár Pénzpiaci Befektetési Alap</t>
  </si>
  <si>
    <t>HU0000705991</t>
  </si>
  <si>
    <t>Erste Nyíltvégű Euro Pénzpiaci Befektetési Alap</t>
  </si>
  <si>
    <t>HU0000706007</t>
  </si>
  <si>
    <t>Erste Abszolút Hozamú Válogatott Alapok Alapja 2013.09.01-ig</t>
  </si>
  <si>
    <t>Erste Global Aktív 10 Alapok Alapja 2013.09.02-től</t>
  </si>
  <si>
    <t>HU0000704499</t>
  </si>
  <si>
    <t>Erste Megtakarítási Alapok Alapja</t>
  </si>
  <si>
    <t>HU0000704507</t>
  </si>
  <si>
    <t xml:space="preserve">Erste Nyíltvégű Hazai Indexkövető Részvény Befektetési Alap A sorozat </t>
  </si>
  <si>
    <t>HU0000704200</t>
  </si>
  <si>
    <t>Erste Nyíltvégű Hazai Indexkövető Részvény Befektetési Alap B sorozat 2013.09.27-ig</t>
  </si>
  <si>
    <t>HU0000708441</t>
  </si>
  <si>
    <t>Erste Stock Hungary Indexkövető Részvény Befektetési Alap 2013.10.21-től</t>
  </si>
  <si>
    <t xml:space="preserve">Erste DPM Nyíltvégű Alternatív Alapok Alapja </t>
  </si>
  <si>
    <t>HU0000705314</t>
  </si>
  <si>
    <t>Erste Korvett Kötvény Alapok Alapja</t>
  </si>
  <si>
    <t>HU0000705306</t>
  </si>
  <si>
    <t>Erste Nyíltvégű Tőke- és Hozamvédett Befektetési Alap 2013.11.14-ig</t>
  </si>
  <si>
    <t>Erste Tőkevédett Állampapír Alap 2013.11.15-től</t>
  </si>
  <si>
    <t>HU0000704333</t>
  </si>
  <si>
    <t>Magyar Posta Nyíltvégű Tőke- és Hozamvédett Befektetési Alap 2013.01.31-ig</t>
  </si>
  <si>
    <t>Alpok Nyíltvégű Tőke- és Hozamvédett Befektetési Alap 2013.02.01-től 2013.10.06-ig</t>
  </si>
  <si>
    <t>Erste Alpok Nyíltvégű Tőke- és Hozamvédett Befektetési Alap 2013.02.01-től 2013.10.06-ig</t>
  </si>
  <si>
    <t>HU0000704325</t>
  </si>
  <si>
    <t>Erste Nyíltvégű Ingatlan Befektetési Alap</t>
  </si>
  <si>
    <t>HU0000703160</t>
  </si>
  <si>
    <t>Magyar Posta Nyíltvégű Ingatlan Alapok Alapja 2013.01.31-ig</t>
  </si>
  <si>
    <t>Alpok Nyíltvégű Ingatlan Alapok Alapja 2013.02.01-től 2013.10.06-ig</t>
  </si>
  <si>
    <t>Erste Alpok Nyíltvégű Ingatlan Alapok Alapja 2013.10.07-től</t>
  </si>
  <si>
    <t>HU0000703830</t>
  </si>
  <si>
    <t>Erste Nyíltvégű Euro Ingatlan Befektetési Alap</t>
  </si>
  <si>
    <t>HU0000707740</t>
  </si>
  <si>
    <t>Erste Tőkevédett Kamatoptimum Nyíltvégű Befektetési Alap</t>
  </si>
  <si>
    <t>HU0000708243</t>
  </si>
  <si>
    <t>Erste Európai Részvény Befektetési Alap  2013.12.29-ig</t>
  </si>
  <si>
    <t>Erste Európai Részvény Alapok Alapja 2013.12.30-tól</t>
  </si>
  <si>
    <t>HU0000708649</t>
  </si>
  <si>
    <t>Erste Globális Részvény Alapok Alapja 2013.01.31-ig</t>
  </si>
  <si>
    <t>Erste DPM Globális Részvény Alapok Alapja 2013.02.01-től</t>
  </si>
  <si>
    <t>HU0000708631</t>
  </si>
  <si>
    <t>Erste Nyíltvégű Abszolút Hozamú Részvény Származtatott Alap 2013.10.06-ig</t>
  </si>
  <si>
    <t>Erste Nyíltvégű Abszolút Hozamú Alternatív Alapok Alapja 2013.10.07-től</t>
  </si>
  <si>
    <t>HU0000705322</t>
  </si>
  <si>
    <t>Erste Abszolút Hozamú Eszközallokációs Alapok Alapja</t>
  </si>
  <si>
    <t>HU0000708656</t>
  </si>
  <si>
    <t>A sikerdíj mértéke a benchmark feletti hozam maximum 20%-a.</t>
  </si>
  <si>
    <t>Erste Globál Aktív Megtakarítási Alapok Alapja 2013.08.04-ig</t>
  </si>
  <si>
    <t>Erste Globál Aktív 30 Alapok Alapja 2013.08.05-től</t>
  </si>
  <si>
    <t>HU0000709993</t>
  </si>
  <si>
    <t>Erste Globál Mix Megtakarítási Alapok Alapja 2013.08.04-ig</t>
  </si>
  <si>
    <t>Erste Globál Aktív 50 Alapok Alapja 2013.08.05-től</t>
  </si>
  <si>
    <t>HU0000709985</t>
  </si>
  <si>
    <t>Erste Tőkevédett Alapok Alapja</t>
  </si>
  <si>
    <t>HU0000710181</t>
  </si>
  <si>
    <t>Erste Nyíltvégű Abszolút Hozamú Kötvény Befektetési Alap</t>
  </si>
  <si>
    <t>HU0000710694</t>
  </si>
  <si>
    <t>Erste Nyíltvégű Tartós Árfolyamvédett Kötvény Alap</t>
  </si>
  <si>
    <t>HU0000711213</t>
  </si>
  <si>
    <t>Magyar Posta Nyíltvégű Árfolyamvédett Kötvény Alap 2013.01.31-ig</t>
  </si>
  <si>
    <t>Alpok Nyíltvégű Árfolyamvédett Kötvény Alap 2013.02.01-től 2013.10.06-ig</t>
  </si>
  <si>
    <t>Erste Alpok Nyíltvégű Árfolyamvédett Kötvény Alap 2013.10.07-től</t>
  </si>
  <si>
    <t>HU0000711247</t>
  </si>
  <si>
    <t>Erste DPM Nyíltvégű Nemzetközi Kötvény Alapok Alapja</t>
  </si>
  <si>
    <t>HU0000711692</t>
  </si>
  <si>
    <t>Futureal 1. Ingatlanbefektetési Alap</t>
  </si>
  <si>
    <t>HU0000703152</t>
  </si>
  <si>
    <t>Zártvégű</t>
  </si>
  <si>
    <t xml:space="preserve"> - </t>
  </si>
  <si>
    <t>max. 4 %</t>
  </si>
  <si>
    <t>max 33%</t>
  </si>
  <si>
    <t>FirstFund Intézményi 
Ingatlanbefektetési Alap</t>
  </si>
  <si>
    <t>Finest</t>
  </si>
  <si>
    <t>FirstFund</t>
  </si>
  <si>
    <t>Generali Amazonas Latin-Amerikai Részvény VE Bef. Alap</t>
  </si>
  <si>
    <t>HU0000708797</t>
  </si>
  <si>
    <t>Generáli</t>
  </si>
  <si>
    <t>Generali Arany Oroszlán Nk. Rv. Alap A sorozat</t>
  </si>
  <si>
    <t>HU0000701818</t>
  </si>
  <si>
    <t>Generali Arany Oroszlán Nk. Rv. Alap B sorozat</t>
  </si>
  <si>
    <t>HU0000710710</t>
  </si>
  <si>
    <t>Generali Fejlődő Piaci Rv. Alapok Alapja A sorozat</t>
  </si>
  <si>
    <t>HU0000706825</t>
  </si>
  <si>
    <t>Generali Fejlődő Piaci Rv. Alapok Alapja B sorozat</t>
  </si>
  <si>
    <t>HU0000710728</t>
  </si>
  <si>
    <t>Generali Főnix Távol-Keleti Részvény VE Alapok Alapja</t>
  </si>
  <si>
    <t>HU0000708805</t>
  </si>
  <si>
    <t>Generali IC Ázsiai Részvény VE Befektetési Alap</t>
  </si>
  <si>
    <t>HU0000708821</t>
  </si>
  <si>
    <t>Generali Mustang Amerikai Rv. Alap A sorozat</t>
  </si>
  <si>
    <t>HU0000705603</t>
  </si>
  <si>
    <t>Generali Mustang Amerikai Rv. Alap B sorozat</t>
  </si>
  <si>
    <t>HU0000710702</t>
  </si>
  <si>
    <t>Generali Abszolút Hozam Származtatott Alap</t>
  </si>
  <si>
    <t>HU0000706833</t>
  </si>
  <si>
    <t>Generali Cash Pénzpiaci Alap A sorozat</t>
  </si>
  <si>
    <t>HU0000705744</t>
  </si>
  <si>
    <t>Generali Cash Pénzpiaci Alap B sorozat</t>
  </si>
  <si>
    <t>HU0000702063</t>
  </si>
  <si>
    <t>Generali Gold Közép-Kelet Európai Rv. Alap A sorozat</t>
  </si>
  <si>
    <t>HU0000706809</t>
  </si>
  <si>
    <t>Generali Gold Közép-Kelet Európai Rv. Alap B sorozat</t>
  </si>
  <si>
    <t>HU0000710785</t>
  </si>
  <si>
    <t>Generali Greenergy Abszolút Hozam Alap</t>
  </si>
  <si>
    <t>HU0000708813</t>
  </si>
  <si>
    <t>Generali Hazai Kötvény Alap A sorozat</t>
  </si>
  <si>
    <t>HU0000705736</t>
  </si>
  <si>
    <t>Generali Hazai Kötvény Alap B sorozat</t>
  </si>
  <si>
    <t>HU0000702071</t>
  </si>
  <si>
    <t>Generali Infrastrukturális Abszolút Hozam Alap</t>
  </si>
  <si>
    <t>HU0000706817</t>
  </si>
  <si>
    <t>Generali IPO Abszolút Hozam Alap</t>
  </si>
  <si>
    <t>HU0000706791</t>
  </si>
  <si>
    <t>Generali Tripla 5 Tőke és Hozamvédett Származtatott Alap</t>
  </si>
  <si>
    <t>HU0000709415</t>
  </si>
  <si>
    <t>CONCORDE HOLD ALAPOK ALAPJA</t>
  </si>
  <si>
    <t>HU0000710116</t>
  </si>
  <si>
    <t>Hold</t>
  </si>
  <si>
    <t xml:space="preserve"> max. 1.0%</t>
  </si>
  <si>
    <t>ING Globális Részvény Befektetési Alap</t>
  </si>
  <si>
    <t>HU0000702519</t>
  </si>
  <si>
    <t>ING</t>
  </si>
  <si>
    <t>nincs sikerdíj</t>
  </si>
  <si>
    <t>2012.12.22-2013.09.30: 0,044%                               2013.10.01-től 0,064%</t>
  </si>
  <si>
    <t>32276 EUR</t>
  </si>
  <si>
    <t xml:space="preserve"> </t>
  </si>
  <si>
    <t>ING Indexkövető Részvény Befektetési Alap</t>
  </si>
  <si>
    <t>HU0000703129</t>
  </si>
  <si>
    <t>ING Kötvény Befektetési Alap</t>
  </si>
  <si>
    <t>HU0000703137</t>
  </si>
  <si>
    <t>ING Pénzpiaci Befektetési Alap</t>
  </si>
  <si>
    <t>HU0000702535</t>
  </si>
  <si>
    <t>MKB 24 Karát Tőkevédett Származtatott Befektetési Alap</t>
  </si>
  <si>
    <t>HU0000711254</t>
  </si>
  <si>
    <t>MKB</t>
  </si>
  <si>
    <t>Határozott</t>
  </si>
  <si>
    <t>Tőkevédett alap</t>
  </si>
  <si>
    <t>MKB 24 Karát II. Tőkevédett Származtatott Befektetési Alap</t>
  </si>
  <si>
    <t>HU0000711593</t>
  </si>
  <si>
    <t>MKB 24 Karát III. Tőkevédett Származtatott Befektetési Alap</t>
  </si>
  <si>
    <t>HU0000711882</t>
  </si>
  <si>
    <t>MKB Bonus Közép-Európai Részvény Befektetési Alap</t>
  </si>
  <si>
    <t>HU0000702964</t>
  </si>
  <si>
    <t>MKB Brazil Teljesítmény Tőkevédett Származtatott Befektetési Alap</t>
  </si>
  <si>
    <t>HU0000711122</t>
  </si>
  <si>
    <t>MKB Differencia Tőkevédett Származtatott Befektetési Alap</t>
  </si>
  <si>
    <t>HU0000710868</t>
  </si>
  <si>
    <t>MKB EnergiaForrás Tőkevédett Származtatott Befektetési Alap</t>
  </si>
  <si>
    <t>HU0000711502</t>
  </si>
  <si>
    <t>MKB ENERGIA Tőke-és Hozamvédett Származtatott Befektetési Alap</t>
  </si>
  <si>
    <t>HU0000709043</t>
  </si>
  <si>
    <t>MKB Észak-Amerikai Részvény Befektetési Alap</t>
  </si>
  <si>
    <t>HU0000709506</t>
  </si>
  <si>
    <t>MKB EURO Tőkevédett Likviditási Alap</t>
  </si>
  <si>
    <t>HU0000707138</t>
  </si>
  <si>
    <t>Likviditási alap</t>
  </si>
  <si>
    <t>MKB Európai Részvény Befektetési Alap</t>
  </si>
  <si>
    <t>HU0000702931</t>
  </si>
  <si>
    <t>MKB Feltörekvő Kína 2. Tőkevédett Származtatott Befektetési Alap</t>
  </si>
  <si>
    <t>HU0000711379</t>
  </si>
  <si>
    <t>MKB Feltörekvő Kína Tőkevédett Származtatott Befektetési Alap</t>
  </si>
  <si>
    <t>HU0000710553</t>
  </si>
  <si>
    <t>MKB FIX Hozamú Tőke- és Hozamvédett Származtatott Befektetési Alap</t>
  </si>
  <si>
    <t>HU0000710975</t>
  </si>
  <si>
    <t>MKB Ingatlan Alapok Alapja "A" Sorozat</t>
  </si>
  <si>
    <t>HU0000705058</t>
  </si>
  <si>
    <t>MKB Ingatlan Alapok Alapja "IL" Sorozat</t>
  </si>
  <si>
    <t>HU0000711304</t>
  </si>
  <si>
    <t>MKB Forint Tőkevédett Likviditási Alap</t>
  </si>
  <si>
    <t>HU0000705280</t>
  </si>
  <si>
    <t>MKB Magaslat Tőke-és Hozamvédett Származtatott Befektetési Alap</t>
  </si>
  <si>
    <t>HU0000710264</t>
  </si>
  <si>
    <t>MKB Megújuló Energia II. Tőke-és Hozamvédett Származtatott Befektetési Alap</t>
  </si>
  <si>
    <t>HU0000710637</t>
  </si>
  <si>
    <t>MKB Megújuló Energia Tőke-és Hozamvédett Származtatott Befektetési Alap</t>
  </si>
  <si>
    <t>HU0000710363</t>
  </si>
  <si>
    <t>MKB Állampapír Befektetési Alap</t>
  </si>
  <si>
    <t>HU0000702956</t>
  </si>
  <si>
    <t>MKB Nyersanyag Alapok Alapja</t>
  </si>
  <si>
    <t>HU0000707971</t>
  </si>
  <si>
    <t>Árupiaci alap</t>
  </si>
  <si>
    <t>MKB Premium Selection Zártvégű Zártkörű Befektetési Alap</t>
  </si>
  <si>
    <t>HU0000711338</t>
  </si>
  <si>
    <t>MKB Premium Selection Zártvégű Nyilvános Befektetési Alap</t>
  </si>
  <si>
    <t>HU0000711585</t>
  </si>
  <si>
    <t>MKB Prémium Rövid Kötvény Befektetési Alap</t>
  </si>
  <si>
    <t>HU0000702972</t>
  </si>
  <si>
    <t>MKB Primátus Tőke-és Hozamvédett Származtatott Befektetési Alap</t>
  </si>
  <si>
    <t>HU0000709456</t>
  </si>
  <si>
    <t>MKB Természeti Kincsek Hozam Plusz Tőke- és Hozamvédett Származtatott Alap</t>
  </si>
  <si>
    <t>HU0000708763</t>
  </si>
  <si>
    <t>MKB Természeti Kincsek III. Tőke-és Hozamvédett Származtatott Befektetési Alap</t>
  </si>
  <si>
    <t>HU0000709936</t>
  </si>
  <si>
    <t>MKB Triász Tőke-és Hozamvédett Származtatott Befektetési Alap</t>
  </si>
  <si>
    <t>HU0000709225</t>
  </si>
  <si>
    <t>MKB DOLLÁR Tőkevédett Likviditási Alap</t>
  </si>
  <si>
    <t>HU0000708052</t>
  </si>
  <si>
    <t>*MKB PAGODA Tőkevédett Likviditási Alap</t>
  </si>
  <si>
    <t>HU0000704531</t>
  </si>
  <si>
    <t>*MKB Pagoda V. Tőkevédett Származtatott Alap</t>
  </si>
  <si>
    <t>HU0000708540</t>
  </si>
  <si>
    <t>*MKB Pagoda 5. Tőkevédett Likviditási Befektetési Alap</t>
  </si>
  <si>
    <t>HU0000713094</t>
  </si>
  <si>
    <t>OTP INGATLANBEFEKTETÉSI ALAP</t>
  </si>
  <si>
    <t>HU0000702451</t>
  </si>
  <si>
    <t>OTPING</t>
  </si>
  <si>
    <t>1. Ingatlanbefektetési állomány 2%-a és a  likvid eszközök 1.5%-a ha a likvid eszközök értéke nem negatív; 2. ha a likvid eszközök értéke negatív, akkor a nettó eszközérték 2%-a</t>
  </si>
  <si>
    <t>1. 15mrd eszközértékig: ingatlanbefektetési állomány 0.15%-a és a likvid eszközök 0.2%-a     2. 15mrd eszközérték felett: ingatlanbefektetési állomány 0.125%-a és a likvid eszközök állomány 0.15%-a                                   3. ha a likvid eszközök értéke negatív, akkor a nettó eszközérték az alap, mértéke az ingatlanállományra alkalmazott %</t>
  </si>
  <si>
    <t>OTP REAL III. TŐKE- ÉS HOZAMVÉDETT ZÁRTVÉGŰ SZÁRMAZTATOTT ALAP</t>
  </si>
  <si>
    <t>HU0000710124</t>
  </si>
  <si>
    <t>Jegyzett tőke 1.75%-a</t>
  </si>
  <si>
    <t>Alapkezelési díj része</t>
  </si>
  <si>
    <t>OTP REÁL GLOBÁLIS NYILVÁNOS HOZAMVÉDETT ZÁRTVÉGŰ SZÁRMAZTATOTT ALAP</t>
  </si>
  <si>
    <t>HU0000710611</t>
  </si>
  <si>
    <t>OTP REAL AKTÍV NYILVÁNOS HOZAMVÉDETT ZÁRTVÉGŰ SZÁRMAZTATOTT ALAP</t>
  </si>
  <si>
    <t>HU0000710967</t>
  </si>
  <si>
    <t>átlakult</t>
  </si>
  <si>
    <t>átalakulást követően</t>
  </si>
  <si>
    <t>BUX ETF Alap</t>
  </si>
  <si>
    <t>HU0000704960</t>
  </si>
  <si>
    <t>OTP</t>
  </si>
  <si>
    <t>max 0,50%</t>
  </si>
  <si>
    <t>max 0.05%</t>
  </si>
  <si>
    <t>DSK Euró Pénzpiaci Alap</t>
  </si>
  <si>
    <t>HU0000709761</t>
  </si>
  <si>
    <t>max 1,00%</t>
  </si>
  <si>
    <t>DSK Pénzpiaci Alap</t>
  </si>
  <si>
    <t>HU0000706320</t>
  </si>
  <si>
    <t>BGN</t>
  </si>
  <si>
    <t>OTP Abszolút Hozam Alap A sorozat</t>
  </si>
  <si>
    <t>HU0000704457</t>
  </si>
  <si>
    <t>max 2,00%</t>
  </si>
  <si>
    <t>OTP Abszolút Hozam Alap B sorozat</t>
  </si>
  <si>
    <t>HU0000704440</t>
  </si>
  <si>
    <t>OTP Afrika Részvény Alap A sorozat</t>
  </si>
  <si>
    <t>HU0000709753</t>
  </si>
  <si>
    <t>max 0.20%</t>
  </si>
  <si>
    <t>OTP Afrika Részvény Alap C sorozat</t>
  </si>
  <si>
    <t>HU0000709886</t>
  </si>
  <si>
    <t>OTP Agrárpiaci Trend Fix I. Alap</t>
  </si>
  <si>
    <t>HU0000710066</t>
  </si>
  <si>
    <t>max 2.00%</t>
  </si>
  <si>
    <t>max 1.00%</t>
  </si>
  <si>
    <t>OTP Agrárpiaci Trend Fix II. Alap</t>
  </si>
  <si>
    <t>HU0000710223</t>
  </si>
  <si>
    <t>OTP Aranygól Hozamvédett Nyíltvégű Származtatott Alap</t>
  </si>
  <si>
    <t>HU0000708953</t>
  </si>
  <si>
    <t>OTP Aranygól Alap</t>
  </si>
  <si>
    <t>max 1.50%</t>
  </si>
  <si>
    <t>OTP Árupiaci Trend Fix I. Hozamvédett Nyíltvégű Származtatott Alap</t>
  </si>
  <si>
    <t>HU0000709555</t>
  </si>
  <si>
    <t>OTP Árupiaci Trend Fix I.  Alap</t>
  </si>
  <si>
    <t>OTP Árupiaci Trend Fix II. Alap</t>
  </si>
  <si>
    <t>HU0000709910</t>
  </si>
  <si>
    <t>OTP Árupiaci Trend Fix III. Alap</t>
  </si>
  <si>
    <t>HU0000710447</t>
  </si>
  <si>
    <t>OTP Ázsiai Ingatlan Alapok Alapja A sorozat</t>
  </si>
  <si>
    <t>HU0000706718</t>
  </si>
  <si>
    <t>OTP Ázsiai Ingatlan Alapok Alapja B sorozat</t>
  </si>
  <si>
    <t>HU0000706726</t>
  </si>
  <si>
    <t>OTP DOLLÁR Pénzpiaci Alap</t>
  </si>
  <si>
    <t>HU0000702170</t>
  </si>
  <si>
    <t>OTP Dupla Fix II. Hozamvédett Zártvágű Származtatott Alap</t>
  </si>
  <si>
    <t>HU0000708466</t>
  </si>
  <si>
    <t>OTP Dupla Fix II. Alap</t>
  </si>
  <si>
    <t>OTP Dupla Fix Plusz Alap</t>
  </si>
  <si>
    <t>HU0000708599</t>
  </si>
  <si>
    <t>OTP Dupla Fix Plusz II. Alap</t>
  </si>
  <si>
    <t>HU0000708748</t>
  </si>
  <si>
    <t>OTP EMDA Származtatott Alap</t>
  </si>
  <si>
    <t>HU0000706361</t>
  </si>
  <si>
    <t>OTP EMEA Kötvény Alap (856)</t>
  </si>
  <si>
    <t>HU0000711015</t>
  </si>
  <si>
    <t>Szabad futamidejű kötvényalap</t>
  </si>
  <si>
    <t>OTP EURÓ Pénzpiaci Alap</t>
  </si>
  <si>
    <t>HU0000702162</t>
  </si>
  <si>
    <t>OTP Eurogól Hozamvédett Zártvégű Alap</t>
  </si>
  <si>
    <t>HU0000711437</t>
  </si>
  <si>
    <t>OTP Európa-válogatott Hozamvédett Nyíltvégű Származtatott Alap</t>
  </si>
  <si>
    <t>HU0000709373</t>
  </si>
  <si>
    <t>OTP Európa-válogatott Alap</t>
  </si>
  <si>
    <t>OTP Fejlett Piaci Trend Fix I. Alap</t>
  </si>
  <si>
    <t>HU0000710579</t>
  </si>
  <si>
    <t>OTP Fejlett Piaci Trend Fix II. Alap</t>
  </si>
  <si>
    <t>HU0000710751</t>
  </si>
  <si>
    <t>OTP Feltörekvő Piaci Trend Fix I. Hozamvédett Nyíltvégű Származtatott Alap</t>
  </si>
  <si>
    <t>HU0000709548</t>
  </si>
  <si>
    <t>OTP Feltörekvő Piaci Trend Fix I. Alap</t>
  </si>
  <si>
    <t>OTP Feltörekvő Piaci trend Fix II. Alap</t>
  </si>
  <si>
    <t>HU0000709902</t>
  </si>
  <si>
    <t>OTP Feltörekvő Piaci Trend Fix III. Alap</t>
  </si>
  <si>
    <t>HU0000710041</t>
  </si>
  <si>
    <t>OTP Feltörekvő Piaci Trend Fix IV. Alap</t>
  </si>
  <si>
    <t>HU0000710231</t>
  </si>
  <si>
    <t>OTP Feltörekvő Piaci Trend Fix IX. Alap</t>
  </si>
  <si>
    <t>HU0000711064</t>
  </si>
  <si>
    <t>OTP Feltörekvő Piaci Trend Fix V. Alap</t>
  </si>
  <si>
    <t>HU0000710454</t>
  </si>
  <si>
    <t>OTP Feltörekvő Piaci Trend Fix VI. Alap</t>
  </si>
  <si>
    <t>HU0000710561</t>
  </si>
  <si>
    <t>OTP Feltörekvő Piaci Trend Fix VII. Alap</t>
  </si>
  <si>
    <t>HU0000710744</t>
  </si>
  <si>
    <t>OTP Feltörekvő Piaci Trend Fix VIII. Alap</t>
  </si>
  <si>
    <t>HU0000710900</t>
  </si>
  <si>
    <t>OTP Föld Kincsei Alapok Alapja A sorozat</t>
  </si>
  <si>
    <t>HU0000707633</t>
  </si>
  <si>
    <t>OTP Föld Kincsei Alapok Alapja B sorozat</t>
  </si>
  <si>
    <t>HU0000707641</t>
  </si>
  <si>
    <t>OTP G10 Euró Származtatott Alap A sorozat</t>
  </si>
  <si>
    <t>HU0000706221</t>
  </si>
  <si>
    <t>OTP G10 Euró Származtatott Alap B sorozat</t>
  </si>
  <si>
    <t>HU0000710298</t>
  </si>
  <si>
    <t>max 0.80%</t>
  </si>
  <si>
    <t>OTP Jövő Márkái Hozamvédett Nyíltvégű Származtatott Alap</t>
  </si>
  <si>
    <t>HU0000709035</t>
  </si>
  <si>
    <t>OTP Jövő Márkái Alap</t>
  </si>
  <si>
    <t>OTP Jövő Márkái II. Hozamvédett nyíltvégű Származtatott Alap</t>
  </si>
  <si>
    <t>HU0000709233</t>
  </si>
  <si>
    <t>OTP Jövő Márkái II. Alap</t>
  </si>
  <si>
    <t>OTP Jubileum Alap</t>
  </si>
  <si>
    <t>HU0000707377</t>
  </si>
  <si>
    <t>OTP Klímaváltozás 130/30 B sorozat</t>
  </si>
  <si>
    <t>HU0000706247</t>
  </si>
  <si>
    <t>OTP Klímaváltozás130/30  A sorozat</t>
  </si>
  <si>
    <t>HU0000706239</t>
  </si>
  <si>
    <t>OTP Közép-Európai Részvény Alap</t>
  </si>
  <si>
    <t>HU0000703855</t>
  </si>
  <si>
    <t>max 2.50%</t>
  </si>
  <si>
    <t>OTP MAXIMA  Alap</t>
  </si>
  <si>
    <t>HU0000702865</t>
  </si>
  <si>
    <t>OTP Omega Fejlett Piaci Rv. Alapok Alapja A sorozat</t>
  </si>
  <si>
    <t>HU0000702899</t>
  </si>
  <si>
    <t>OTP Omega Fejlett Piaci Rv. Alapok Alapja B sorozat</t>
  </si>
  <si>
    <t>HU0000703897</t>
  </si>
  <si>
    <t>OTP Optima Alap</t>
  </si>
  <si>
    <t>HU0000702873</t>
  </si>
  <si>
    <t>OTP Orosz Részvény Alap A sorozat</t>
  </si>
  <si>
    <t>HU0000709019</t>
  </si>
  <si>
    <t>OTP Orosz Részvény Alap B sorozat</t>
  </si>
  <si>
    <t>HU0000709084</t>
  </si>
  <si>
    <t>OTP Orosz Részvény Alap C sorozat</t>
  </si>
  <si>
    <t>HU0000709092</t>
  </si>
  <si>
    <t>OTP Paletta  Alap</t>
  </si>
  <si>
    <t>HU0000702881</t>
  </si>
  <si>
    <t>Kiegyensúlyozott vegyes alap</t>
  </si>
  <si>
    <t>OTP Pénzpiaci Alap</t>
  </si>
  <si>
    <t>HU0000703491</t>
  </si>
  <si>
    <t>OTP Planéta Felt. Piaci Rv. Alapok Alapja A sorozat</t>
  </si>
  <si>
    <t>HU0000705579</t>
  </si>
  <si>
    <t>OTP Planéta Felt. Piaci Rv. Alapok Alapja B sorozat</t>
  </si>
  <si>
    <t>HU0000705561</t>
  </si>
  <si>
    <t>OTP Prémium Euró Alap</t>
  </si>
  <si>
    <t>HU0000705041</t>
  </si>
  <si>
    <t>max 0.60%</t>
  </si>
  <si>
    <t>OTP Prémium Kiegyensúlyozott Alap</t>
  </si>
  <si>
    <t>HU0000705025</t>
  </si>
  <si>
    <t>OTP Prémium Klasszikus Alap</t>
  </si>
  <si>
    <t>HU0000705017</t>
  </si>
  <si>
    <t>max 0.50%</t>
  </si>
  <si>
    <t>OTP Prémium Növekedési Alap</t>
  </si>
  <si>
    <t>HU0000705033</t>
  </si>
  <si>
    <t>max 0.70%</t>
  </si>
  <si>
    <t>OTP Prémium Származtatott Alapok Alapja</t>
  </si>
  <si>
    <t>HU0000710249</t>
  </si>
  <si>
    <t>OTP Quality  Alap A sorozat</t>
  </si>
  <si>
    <t>HU0000702907</t>
  </si>
  <si>
    <t>OTP Quality Alap B sorozat</t>
  </si>
  <si>
    <t>HU0000706213</t>
  </si>
  <si>
    <t>OTP Supra  Alap</t>
  </si>
  <si>
    <t>OTP Szinergia Alap</t>
  </si>
  <si>
    <t>HU0000711684</t>
  </si>
  <si>
    <t>OTP Török Részvény Alap A sorozat</t>
  </si>
  <si>
    <t>HU0000709001</t>
  </si>
  <si>
    <t>OTP Török Részvény Alap B sorozat</t>
  </si>
  <si>
    <t>HU0000709076</t>
  </si>
  <si>
    <t>OTP Török Részvény Alap C sorozat</t>
  </si>
  <si>
    <t>HU0000709100</t>
  </si>
  <si>
    <t>OTP Trend Alap A sorozat</t>
  </si>
  <si>
    <t>HU0000711007</t>
  </si>
  <si>
    <t>OTP Trend Alap B sorozat</t>
  </si>
  <si>
    <t>HU0000711049</t>
  </si>
  <si>
    <t>OTP Trendvadász I. Hozamvédett Zártvégű Alap</t>
  </si>
  <si>
    <t>HU0000711189</t>
  </si>
  <si>
    <t>OTP Trendvadász II. Hozamvédett Zártvégű Alap</t>
  </si>
  <si>
    <t>HU0000711288</t>
  </si>
  <si>
    <t>OTP Új Európa Alap A sorozat</t>
  </si>
  <si>
    <t>HU0000705827</t>
  </si>
  <si>
    <t>OTP Új Európa Alap B sorozat</t>
  </si>
  <si>
    <t>HU0000705835</t>
  </si>
  <si>
    <t>OTP Világjátékok Hozamvédett Zártvégű Alap</t>
  </si>
  <si>
    <t>HU0000711536</t>
  </si>
  <si>
    <t>HVB Lépéselőny Alap</t>
  </si>
  <si>
    <t>HU0000703665</t>
  </si>
  <si>
    <t>Pioneer</t>
  </si>
  <si>
    <t>Max. 0,90%</t>
  </si>
  <si>
    <t>Max. 0,06%</t>
  </si>
  <si>
    <t>Magellán Tőkevédett Nyíltvégű Származtatott Alap</t>
  </si>
  <si>
    <t>HU0000704523</t>
  </si>
  <si>
    <t>Származtatott alap</t>
  </si>
  <si>
    <t>Max. 3%</t>
  </si>
  <si>
    <t>Max. 0,10%</t>
  </si>
  <si>
    <t>Magellán 2 Tőkevédett Nyíltvégű Származtatott Alap</t>
  </si>
  <si>
    <t>HU0000704952</t>
  </si>
  <si>
    <t>Pioneer Aranysárkány Ázsiai Alapok Alapja A sorozat</t>
  </si>
  <si>
    <t>HU0000705330</t>
  </si>
  <si>
    <t>Max. 2%</t>
  </si>
  <si>
    <t>Pioneer Fejlődő Piaci Részvény Alapok Alapja</t>
  </si>
  <si>
    <t>HU0000708920</t>
  </si>
  <si>
    <t>Max 1,5%</t>
  </si>
  <si>
    <t>Pioneer Horizont 2020 Alap A sorozat</t>
  </si>
  <si>
    <t>HU0000710322</t>
  </si>
  <si>
    <t>Max. 1,65%</t>
  </si>
  <si>
    <t>Pioneer Horizont 2020 Alap Komfort sorozat</t>
  </si>
  <si>
    <t>HU0000710371</t>
  </si>
  <si>
    <t>Pioneer Horizont 2025 Alap A sorozat</t>
  </si>
  <si>
    <t>HU0000710330</t>
  </si>
  <si>
    <t>Max 1,8%</t>
  </si>
  <si>
    <t>Pioneer Horizont 2030 Alap A sorozat</t>
  </si>
  <si>
    <t>HU0000710348</t>
  </si>
  <si>
    <t>Max. 1,95%</t>
  </si>
  <si>
    <t>Pioneer Közép-európai Részvény Alap A sorozat</t>
  </si>
  <si>
    <t>HU0000701891</t>
  </si>
  <si>
    <t>Max. 0,17%</t>
  </si>
  <si>
    <t>Pioneer Közép-európai Részvény Alap I sorozat</t>
  </si>
  <si>
    <t>HU0000706668</t>
  </si>
  <si>
    <t>Max. 0,70%</t>
  </si>
  <si>
    <t>Pioneer Magyar Indexkövető Részvény Alap A sorozat</t>
  </si>
  <si>
    <t>HU0000701842</t>
  </si>
  <si>
    <t>Pioneer Magyar Kötvény Alap A sorozat</t>
  </si>
  <si>
    <t>HU0000701834</t>
  </si>
  <si>
    <t>Max. 1,3%</t>
  </si>
  <si>
    <t>Pioneer Magyar Kötvény Alap I sorozat</t>
  </si>
  <si>
    <t>HU0000706635</t>
  </si>
  <si>
    <t>Max. 0,6%</t>
  </si>
  <si>
    <t>Pioneer Magyar Pénzpiaci Alap A sorozat</t>
  </si>
  <si>
    <t>HU0000701909</t>
  </si>
  <si>
    <t>Max. 1%</t>
  </si>
  <si>
    <t>Pioneer Magyar Pénzpiaci Alap I sorozat</t>
  </si>
  <si>
    <t>HU0000706627</t>
  </si>
  <si>
    <t>Max. 0,42%</t>
  </si>
  <si>
    <t>Pioneer Nemzetközi Vegyes Alapok Alapja A sorozat</t>
  </si>
  <si>
    <t>HU0000706643</t>
  </si>
  <si>
    <t>Max. 1,20%</t>
  </si>
  <si>
    <t>Max. 0,15%</t>
  </si>
  <si>
    <t>Pioneer Nemzetközi Vegyes Alapok Alapja D sorozat</t>
  </si>
  <si>
    <t>HU0000701941</t>
  </si>
  <si>
    <t>Pioneer Selecta Európai Részvény Alapok Alapja A sorozat</t>
  </si>
  <si>
    <t>HU0000702014</t>
  </si>
  <si>
    <t>Max. 1,50%</t>
  </si>
  <si>
    <t>Pioneer Selecta Európai Részvény Alapok Alapja I sorozat</t>
  </si>
  <si>
    <t>HU0000706676</t>
  </si>
  <si>
    <t>Pioneer USA Devizarészvény Alapok Alapja A sorozat</t>
  </si>
  <si>
    <t>HU0000701883</t>
  </si>
  <si>
    <t>Pioneer USA Devizarészvény Alapok Alapja I sorozat</t>
  </si>
  <si>
    <t>HU0000706684</t>
  </si>
  <si>
    <t>Szuper 8 Tőkevédett Származtatott Alap</t>
  </si>
  <si>
    <t>HU0000709159</t>
  </si>
  <si>
    <t>Max. 1,60%</t>
  </si>
  <si>
    <t>Szuper 8 Plusz Tőkevédett Származtatott Alap</t>
  </si>
  <si>
    <t>HU0000709894</t>
  </si>
  <si>
    <t>Max. 2,5%</t>
  </si>
  <si>
    <t>Trendváltó Tőkevédett Származttott Alap A sorozat</t>
  </si>
  <si>
    <t>HU0000710314</t>
  </si>
  <si>
    <t>Trendváltó Tőkevédett Származttott Alap Komfort sorozat</t>
  </si>
  <si>
    <t>HU0000710397</t>
  </si>
  <si>
    <t>Trendváltó Plusz Tőkevédett Származtatott Alap A sorozat</t>
  </si>
  <si>
    <t>HU0000710652</t>
  </si>
  <si>
    <t>Trendváltó Plusz Tőkevédett Származtatott Alap Komfort sorozat</t>
  </si>
  <si>
    <t>HU0000710660</t>
  </si>
  <si>
    <t>Pioneer Cirkáló Származtatott Alap</t>
  </si>
  <si>
    <t>HU0000711890</t>
  </si>
  <si>
    <t>Max. 1,5%</t>
  </si>
  <si>
    <t>RMAX feletti túlteljesítés 20%-a</t>
  </si>
  <si>
    <t>Pioneer Katamarán Származtatott Alap</t>
  </si>
  <si>
    <t>HU0000712096</t>
  </si>
  <si>
    <t>Pioneer Regatta Származtatott Alap</t>
  </si>
  <si>
    <t>HU0000711353</t>
  </si>
  <si>
    <t>Fix 2012 Tavasz Kötvény Alap</t>
  </si>
  <si>
    <t>HU0000711312</t>
  </si>
  <si>
    <t>Max. 0,04%</t>
  </si>
  <si>
    <t>Titkok Kamrája Alap</t>
  </si>
  <si>
    <t>HU0000711296</t>
  </si>
  <si>
    <t>Quaestor Kurázsi Pénzpiaci Nyiltvégű Befektetési Alap</t>
  </si>
  <si>
    <t>HU0000702642</t>
  </si>
  <si>
    <t>Quaestor</t>
  </si>
  <si>
    <t>egyéb (nincs)</t>
  </si>
  <si>
    <t>Quaestor Borostyán Nyíltvégű Befektetési Alap</t>
  </si>
  <si>
    <t>HU0000702659</t>
  </si>
  <si>
    <t>Quaestor Deviza Nyíltvégű Befektetési Alap</t>
  </si>
  <si>
    <t>HU0000702634</t>
  </si>
  <si>
    <t>havi 60000 Ft fix</t>
  </si>
  <si>
    <t>Quaestor Aranytallér Vegyes Nyíltvégű Befektetési Alap</t>
  </si>
  <si>
    <t>HU0000702675</t>
  </si>
  <si>
    <t>Quaestor Tallér Részvény Nyíltvégű Befektetési Alap</t>
  </si>
  <si>
    <t>HU0000702667</t>
  </si>
  <si>
    <t>Quaestor Első Hazai Lakásalap Ingatlan Befektetési Alap</t>
  </si>
  <si>
    <t>HU0000702048</t>
  </si>
  <si>
    <t>Gránit Bank Betét Alap</t>
  </si>
  <si>
    <t>HU0000711106</t>
  </si>
  <si>
    <t>Quantis</t>
  </si>
  <si>
    <t>QUANTIS HUF Likviditási Alap A sorozat</t>
  </si>
  <si>
    <t>HU0000707625</t>
  </si>
  <si>
    <t>QUANTIS HUF Likviditási Alap N HUF sorozat</t>
  </si>
  <si>
    <t>HU0000707807</t>
  </si>
  <si>
    <t>max 2,5%</t>
  </si>
  <si>
    <t>QUANTIS HUF Likviditási Alap Q sorozat</t>
  </si>
  <si>
    <t>HU0000708094</t>
  </si>
  <si>
    <t>QUANTIS Növekedési HUF Vegyes Alapok Alapja A sorozat</t>
  </si>
  <si>
    <t>HU0000708136</t>
  </si>
  <si>
    <t>Amennyiben a QUANTIS Növekedési HUF Vegyes Alapok Alapja "A" sorozatú befektetési jegyére eső hozama egy éves időtávon meghaladja a ZMAX index ugyanezen időtávra jutó hozamát, az Alapkezelő sikerdíjra jogosult, melynek mindenkori mértéke az előzőek szerint számított különbözet maximum 25%-a.</t>
  </si>
  <si>
    <t>Havonta</t>
  </si>
  <si>
    <t>QUANTIS Növekedési HUF Vegyes Alapok Alapja N HUF sorozat</t>
  </si>
  <si>
    <t>HU0000708144</t>
  </si>
  <si>
    <t>QUANTIS Dél-Amerika USD Részvény Alapok Alapja A sorozat</t>
  </si>
  <si>
    <t>HU0000707583</t>
  </si>
  <si>
    <t>QUANTIS Dél-Amerika USD Részvény Alapok Alapja N HUF sorozat</t>
  </si>
  <si>
    <t>HU0000707781</t>
  </si>
  <si>
    <t>QUANTIS Dél-Amerika USD Részvény Alapok Alapja N EUR sorozat</t>
  </si>
  <si>
    <t>HU0000709654</t>
  </si>
  <si>
    <t>QUANTIS Dél-Amerika USD Részvény Alapok Alapja N USD sorozat</t>
  </si>
  <si>
    <t>HU0000709662</t>
  </si>
  <si>
    <t>QUANTIS Globális USD Fejlődő Piaci Részvény Alapok Alapja A sorozat</t>
  </si>
  <si>
    <t>HU0000708102</t>
  </si>
  <si>
    <t>QUANTIS Globális USD Fejlődő Piaci Részvény Alapok Alapja N HUF sorozat</t>
  </si>
  <si>
    <t>HU0000708110</t>
  </si>
  <si>
    <t>QUANTIS Globális USD Fejlődő Piaci Részvény Alapok Alapja N EUR sorozat</t>
  </si>
  <si>
    <t>HU0000709704</t>
  </si>
  <si>
    <t>QUANTIS Globális USD Fejlődő Piaci Részvény Alapok Alapja N USD sorozat</t>
  </si>
  <si>
    <t>HU0000709696</t>
  </si>
  <si>
    <t>QUANTIS Oroszország EUR Részvény Alapok Alapja A sorozat</t>
  </si>
  <si>
    <t>HU0000710140</t>
  </si>
  <si>
    <t>QUANTIS Oroszország EUR Részvény Alapok Alapja N HUF sorozat</t>
  </si>
  <si>
    <t>HU0000707823</t>
  </si>
  <si>
    <t>QUANTIS Oroszország EUR Részvény Alapok Alapja N EUR sorozat</t>
  </si>
  <si>
    <t>HU0000709779</t>
  </si>
  <si>
    <t>QUANTIS Oroszország EUR Részvény Alapok Alapja N USD sorozat</t>
  </si>
  <si>
    <t>HU0000709787</t>
  </si>
  <si>
    <t>QUANTIS Globális USD Fejlett Piaci Részvény Alapok Alapja A sorozat</t>
  </si>
  <si>
    <t>HU0000707591</t>
  </si>
  <si>
    <t>QUANTIS Globális USD Fejlett Piaci Részvény Alapok Alapja N HUF sorozat</t>
  </si>
  <si>
    <t>HU0000707757</t>
  </si>
  <si>
    <t>QUANTIS Globális USD Fejlett Piaci Részvény Alapok Alapja N EUR sorozat</t>
  </si>
  <si>
    <t>HU0000709621</t>
  </si>
  <si>
    <t>QUANTIS Globális USD Fejlett Piaci Részvény Alapok Alapja N USD sorozat</t>
  </si>
  <si>
    <t>HU0000709613</t>
  </si>
  <si>
    <t>QUANTIS India USD Részvény Alapok Alapja A sorozat</t>
  </si>
  <si>
    <t>HU0000707609</t>
  </si>
  <si>
    <t>QUANTIS India USD Részvény Alapok Alapja N HUF sorozat</t>
  </si>
  <si>
    <t>HU0000707773</t>
  </si>
  <si>
    <t>QUANTIS India USD Részvény Alapok Alapja N EUR sorozat</t>
  </si>
  <si>
    <t>HU0000709720</t>
  </si>
  <si>
    <t>QUANTIS India USD Részvény Alapok Alapja N USD sorozat</t>
  </si>
  <si>
    <t>HU0000709712</t>
  </si>
  <si>
    <t>QUANTIS Kína USD Részvény Alapok Alapja A sorozat</t>
  </si>
  <si>
    <t>HU0000707617</t>
  </si>
  <si>
    <t>QUANTIS Kína USD Részvény Alapok Alapja N HUF sorozat</t>
  </si>
  <si>
    <t>HU0000707765</t>
  </si>
  <si>
    <t>QUANTIS Kína USD Részvény Alapok Alapja N EUR sorozat</t>
  </si>
  <si>
    <t>HU0000709746</t>
  </si>
  <si>
    <t>QUANTIS Kína USD Részvény Alapok Alapja N USD sorozat</t>
  </si>
  <si>
    <t>HU0000709738</t>
  </si>
  <si>
    <t>QUANTIS Észak-Amerika USD Részvény Alapok Alapja A sorozat</t>
  </si>
  <si>
    <t>HU0000707849</t>
  </si>
  <si>
    <t>QUANTIS Észak-Amerika USD Részvény Alapok Alapja N HUF sorozat</t>
  </si>
  <si>
    <t>HU0000707831</t>
  </si>
  <si>
    <t>QUANTIS Észak-Amerika USD Részvény Alapok Alapja N EUR sorozat</t>
  </si>
  <si>
    <t>HU0000709647</t>
  </si>
  <si>
    <t>QUANTIS Észak-Amerika USD Részvény Alapok Alapja N USD sorozat</t>
  </si>
  <si>
    <t>HU0000709639</t>
  </si>
  <si>
    <t>Quantis Kelet-Európa EUR Részvény Alapok Alapja A sorozat</t>
  </si>
  <si>
    <t>HU0000707575</t>
  </si>
  <si>
    <t>Quantis Kelet-Európa EUR Részvény Alapok Alapja N HUF sorozat</t>
  </si>
  <si>
    <t>HU0000707799</t>
  </si>
  <si>
    <t>Quantis Kelet-Európa EUR Részvény Alapok Alapja N EUR sorozat</t>
  </si>
  <si>
    <t>HU0000709670</t>
  </si>
  <si>
    <t>Quantis Kelet-Európa EUR Részvény Alapok Alapja N USD sorozat</t>
  </si>
  <si>
    <t>HU0000709688</t>
  </si>
  <si>
    <t>Raiffeisen Alapok Alapja Konvergencia "A" sorozat</t>
  </si>
  <si>
    <t>HU0000702744</t>
  </si>
  <si>
    <t>Raiffeisen</t>
  </si>
  <si>
    <t>maximum 2%</t>
  </si>
  <si>
    <t xml:space="preserve"> -</t>
  </si>
  <si>
    <t>maximum 0,15%</t>
  </si>
  <si>
    <t>Az Alapkezelő a lehetőségekhez képest mindent el fog követni, 
hogy az Alapot terhelő költségek éves szinten ne haladják meg az Alap átlagos nettó eszközértékének 3%-át.</t>
  </si>
  <si>
    <t>Raiffeisen Alapok Alapja Konvergencia "B" sorozat</t>
  </si>
  <si>
    <t>HU0000708888</t>
  </si>
  <si>
    <t>Raiffeisen EMEA Részvény Alapok Alapja "A" sorozat</t>
  </si>
  <si>
    <t>HU0000703715</t>
  </si>
  <si>
    <t>maximum 1,5%</t>
  </si>
  <si>
    <t>maximum 0,2%</t>
  </si>
  <si>
    <t>Raiffeisen EMEA Részvény Alapok Alapja "B" sorozat</t>
  </si>
  <si>
    <t>HU0000708912</t>
  </si>
  <si>
    <t>Raiffeisen Tőke- és Hozamvédett Likviditási Alap</t>
  </si>
  <si>
    <t>HU0000703624</t>
  </si>
  <si>
    <t>Raiffeisen Hozam Prémium Származtatott Alap</t>
  </si>
  <si>
    <t>HU0000703699</t>
  </si>
  <si>
    <t>maximum 0,10%</t>
  </si>
  <si>
    <t xml:space="preserve">Raiffeisen Index Prémium Származtatott Alap </t>
  </si>
  <si>
    <t>HU0000703707</t>
  </si>
  <si>
    <t>maximum 3,0%</t>
  </si>
  <si>
    <t>maximum 0,175%</t>
  </si>
  <si>
    <t>Raiffeisen Ingatlan Alap "A" sorozat</t>
  </si>
  <si>
    <t>HU0000702386</t>
  </si>
  <si>
    <t>PSZÁF díj éves mértéke 0,025% az alap nettó eszközértékére vetítve.
Létesítmény Gazdálkodónak fizetett évi 0,4% az ingatlanok értékére vetítve. Kivételt képeznek azok a megvásárolt ingatlanok, amelyekre vonatkozóan az Alapkezelő az Alap Létesítmény Gazdálkodójától eltérő szervezettel egyedi létesítménygazdálkodási szerződést köt.</t>
  </si>
  <si>
    <t>Raiffeisen Ingatlan Alap "B" sorozat</t>
  </si>
  <si>
    <t>HU0000703798</t>
  </si>
  <si>
    <t>Raiffeisen Ingatlan Alap "C" sorozat</t>
  </si>
  <si>
    <t>HU0000703806</t>
  </si>
  <si>
    <t>Raiffeisen Ingatlan Alap "D" sorozat</t>
  </si>
  <si>
    <t>HU0000704515</t>
  </si>
  <si>
    <t>Raiffeisen Kötvény Alap "A" sorozat</t>
  </si>
  <si>
    <t>HU0000702782</t>
  </si>
  <si>
    <t>Az Alapkezelő a lehetőségekhez képest mindent el fog követni, 
hogy az Alapot terhelő költségek éves szinten ne haladják meg az Alap átlagos nettó eszközértékének 2%-át.</t>
  </si>
  <si>
    <t>Raiffeisen Kötvény Alap "B" sorozat</t>
  </si>
  <si>
    <t>HU0000708854</t>
  </si>
  <si>
    <t>Raiffeisen Likviditási Alap</t>
  </si>
  <si>
    <t>HU0000702097</t>
  </si>
  <si>
    <t>Raiffeisen Nemzetközi Részvény Alap "A" sorozat</t>
  </si>
  <si>
    <t>HU0000702790</t>
  </si>
  <si>
    <t>maximum 0,20%</t>
  </si>
  <si>
    <t>Raiffeisen Nemzetközi Részvény Alap "B" sorozat</t>
  </si>
  <si>
    <t>HU0000708870</t>
  </si>
  <si>
    <t xml:space="preserve">Raiffeisen Kamat Prémium Rövid Kötvény Alap </t>
  </si>
  <si>
    <t>HU0000702758</t>
  </si>
  <si>
    <t>Raiffeisen Perspektíva Alap "A" sorozat</t>
  </si>
  <si>
    <t>HU0000705660</t>
  </si>
  <si>
    <t>maximum 2,0%</t>
  </si>
  <si>
    <t>maximum 0,08%</t>
  </si>
  <si>
    <t>Raiffeisen Perspektíva Alap "B" sorozat</t>
  </si>
  <si>
    <t>HU0000709381</t>
  </si>
  <si>
    <t xml:space="preserve">Raiffeisen Perspektíva Euró Alap  </t>
  </si>
  <si>
    <t>HU0000705652</t>
  </si>
  <si>
    <t>Raiffeisen Private Banking Corvinus Alapok Alapja</t>
  </si>
  <si>
    <t>HU0000705249</t>
  </si>
  <si>
    <t>maximum 1,0%</t>
  </si>
  <si>
    <t>Raiffeisen Private Banking Pannónia Alapok Alapja "A" sorozat</t>
  </si>
  <si>
    <t>HU0000705231</t>
  </si>
  <si>
    <t>Raiffeisen Private Banking Pannónia Alapok Alapja "B" sorozat</t>
  </si>
  <si>
    <t>HU0000709407</t>
  </si>
  <si>
    <t>Raiffeisen Private Banking Rajna Alapok Alapja  "A" sorozat</t>
  </si>
  <si>
    <t>HU0000705983</t>
  </si>
  <si>
    <t>Raiffeisen Private Banking Rajna Alapok Alapja  "B" sorozat</t>
  </si>
  <si>
    <t>HU0000709399</t>
  </si>
  <si>
    <t>Raiffeisen Részvény Alap "A" sorozat</t>
  </si>
  <si>
    <t>HU0000702766</t>
  </si>
  <si>
    <t>maximum 0,25%</t>
  </si>
  <si>
    <t>Raiffeisen Részvény Alap "B" sorozat</t>
  </si>
  <si>
    <t>HU0000708862</t>
  </si>
  <si>
    <t>Raiffeisen EURO Likviditási Alap</t>
  </si>
  <si>
    <t>HU0000708508</t>
  </si>
  <si>
    <t>maximum 1%</t>
  </si>
  <si>
    <t>Raiffeisen Földünk Értékei 2 Tőkevédett Származtatott Alap</t>
  </si>
  <si>
    <t>HU0000710793</t>
  </si>
  <si>
    <t>maximum 3%</t>
  </si>
  <si>
    <t>megszűnéskori alapkezelői díj: az Alap lejárata miatti megszűnésekor az utolsó értékelésnapi nettó eszközértékének legfeljebb 3%-a</t>
  </si>
  <si>
    <t>Raiffeisen TOP 8 Tőkevédett Származtatott Alap</t>
  </si>
  <si>
    <t>HU0000710355</t>
  </si>
  <si>
    <t>az Alap futamideje alatt 
éves átlagban maximum 3%</t>
  </si>
  <si>
    <t>Raiffeisen 2016 Kötvény Alap</t>
  </si>
  <si>
    <t>HU0000710215</t>
  </si>
  <si>
    <t>megszűnéskori alapkezelői díj: az Alap lejárata miatti megszűnésekor az utolsó értékelésnapi nettó eszközértékének legfeljebb 1%-a</t>
  </si>
  <si>
    <t>Raiffeisen Hozamrögzítő Tőkevédett Alapok Alapja</t>
  </si>
  <si>
    <t>HU0000710207</t>
  </si>
  <si>
    <t>maximum 2,5%</t>
  </si>
  <si>
    <t>Reálszisztéma Nyíltvégű Ingatlanbefektetési Alap</t>
  </si>
  <si>
    <t>HU0000701792</t>
  </si>
  <si>
    <t>Reál</t>
  </si>
  <si>
    <t>az Alap tárgynegyedévi nettó eszközértéke
számtani átlagának évi 1,0%-a.</t>
  </si>
  <si>
    <t>az Alap nettó eszközértékeinek számtani átlaga
0.2%-ának megfelelő– minimum 250.000,- Ft, maximum 3.000.000,- Ft – éves díj</t>
  </si>
  <si>
    <t>Forgalmazási díj: 1,2%</t>
  </si>
  <si>
    <t>Reálszisztéma - Marco Polo Származtatott Abszolút Hozam Alap "A" sorozat</t>
  </si>
  <si>
    <t>HU0000702832</t>
  </si>
  <si>
    <t>az ”A” Befektetési Jegy sorozat tárgynegyedévi nettó eszközértéke számtani átlagának évi 1%-a.</t>
  </si>
  <si>
    <t>a benchmark feletti
többlethozam 25%-a.</t>
  </si>
  <si>
    <t>Az Alap nettó eszközértékeinek számtani átlaga
0.2%-ának megfelelő– minimum 500.000,- Ft – éves díj</t>
  </si>
  <si>
    <t>Forgalmazási díj: 1%</t>
  </si>
  <si>
    <t>Reálszisztéma - Marco Polo Származtatott Abszolút Hozam Alap "B" sorozat</t>
  </si>
  <si>
    <t>HU0000708847</t>
  </si>
  <si>
    <t>az „B” Befektetési Jegy sorozat tárgynegyedévi nettó eszközértéke számtani átlagának évente legfeljebb 1%-a.</t>
  </si>
  <si>
    <t>Takarék Invest Hazai Kötvény Befektetési Alap</t>
  </si>
  <si>
    <t>HU0000702857</t>
  </si>
  <si>
    <t>Takarék</t>
  </si>
  <si>
    <t>nem hozamfizető alap</t>
  </si>
  <si>
    <t>1% az alapkezelési és forgalmazási díj együttes mértéke</t>
  </si>
  <si>
    <t>nem sikerdíjas alap</t>
  </si>
  <si>
    <t>Takarék Invest Közép-Kelet-Európai Részvény Befektetési Alap</t>
  </si>
  <si>
    <t>HU0000706197</t>
  </si>
  <si>
    <t>1.5% az alapkezelési és forgalmazási díj együttes mértéke</t>
  </si>
  <si>
    <t>Takarék Invest Likviditási Befektetési Alap</t>
  </si>
  <si>
    <t>HU0000707385</t>
  </si>
  <si>
    <t>0.7% az alapkezelési és forgalmazási díj együttes mértéke</t>
  </si>
  <si>
    <t>Takarék Invest Származtatott Árupiaci Nyíltvégű Befektetési Alap</t>
  </si>
  <si>
    <t>HU0000707997</t>
  </si>
  <si>
    <t>Takarék Invest Tőkevédett Származtatott Nyíltvégű Befektetési Alap</t>
  </si>
  <si>
    <t>HU0000708235</t>
  </si>
  <si>
    <t>0.5% az alapkezelési és forgalmazási díj együttes mértéke</t>
  </si>
  <si>
    <t>Adventum Arbitrázs Származtatott Befektetési Alap</t>
  </si>
  <si>
    <t>HU0000704838</t>
  </si>
  <si>
    <t>Adventum</t>
  </si>
  <si>
    <t>Európa Ingatlanbefektetési Alap</t>
  </si>
  <si>
    <t>HU0000707724</t>
  </si>
  <si>
    <t>Európa</t>
  </si>
  <si>
    <t>max 1.2% forgalmazási jutalék és  0.025% felügyeleti díj</t>
  </si>
  <si>
    <t>CONCORDE EURO PB3 ALAPOK ALAPJA</t>
  </si>
  <si>
    <t>HU0000707245</t>
  </si>
  <si>
    <t>VM</t>
  </si>
  <si>
    <r>
      <t>Az al</t>
    </r>
    <r>
      <rPr>
        <b/>
        <sz val="10"/>
        <rFont val="Times New Roman"/>
        <family val="1"/>
        <charset val="238"/>
      </rPr>
      <t>ap (sorozat)</t>
    </r>
    <r>
      <rPr>
        <b/>
        <sz val="10"/>
        <color indexed="8"/>
        <rFont val="Times New Roman"/>
        <family val="1"/>
        <charset val="238"/>
      </rPr>
      <t xml:space="preserve"> azonosítása</t>
    </r>
  </si>
  <si>
    <r>
      <t xml:space="preserve">A befektetési alap Teljesítménydíjat fizet a </t>
    </r>
    <r>
      <rPr>
        <b/>
        <sz val="10"/>
        <color theme="1"/>
        <rFont val="Times New Roman"/>
        <family val="1"/>
        <charset val="238"/>
      </rPr>
      <t>vezető forgalmazónak</t>
    </r>
    <r>
      <rPr>
        <sz val="10"/>
        <color theme="1"/>
        <rFont val="Times New Roman"/>
        <family val="1"/>
        <charset val="238"/>
      </rPr>
      <t xml:space="preserve">, ha az Alap hozama meghaladja az </t>
    </r>
    <r>
      <rPr>
        <sz val="10"/>
        <color rgb="FF000000"/>
        <rFont val="Times New Roman"/>
        <family val="1"/>
        <charset val="238"/>
      </rPr>
      <t xml:space="preserve">RMAX  </t>
    </r>
    <r>
      <rPr>
        <sz val="10"/>
        <color theme="1"/>
        <rFont val="Times New Roman"/>
        <family val="1"/>
        <charset val="238"/>
      </rPr>
      <t>index hozamát. A Teljesítménydíj mértéke az alap</t>
    </r>
    <r>
      <rPr>
        <sz val="10"/>
        <color rgb="FF000000"/>
        <rFont val="Times New Roman"/>
        <family val="1"/>
        <charset val="238"/>
      </rPr>
      <t xml:space="preserve"> RMAX index hozamán felül elért hozam 20 %-a</t>
    </r>
  </si>
  <si>
    <r>
      <t xml:space="preserve">A befektetési alap Teljesítménydíjat fizet a </t>
    </r>
    <r>
      <rPr>
        <b/>
        <sz val="10"/>
        <color theme="1"/>
        <rFont val="Times New Roman"/>
        <family val="1"/>
        <charset val="238"/>
      </rPr>
      <t>vezető forgalmazónak</t>
    </r>
    <r>
      <rPr>
        <sz val="10"/>
        <color theme="1"/>
        <rFont val="Times New Roman"/>
        <family val="1"/>
        <charset val="238"/>
      </rPr>
      <t xml:space="preserve">, ha az Alap hozama meghaladja az </t>
    </r>
    <r>
      <rPr>
        <sz val="10"/>
        <color rgb="FF000000"/>
        <rFont val="Times New Roman"/>
        <family val="1"/>
        <charset val="238"/>
      </rPr>
      <t xml:space="preserve">EONIA (BLOOMBERG:DBDCONIA:IND) </t>
    </r>
    <r>
      <rPr>
        <sz val="10"/>
        <color theme="1"/>
        <rFont val="Times New Roman"/>
        <family val="1"/>
        <charset val="238"/>
      </rPr>
      <t xml:space="preserve"> index hozamát. A Teljesítménydíj mértéke az alap</t>
    </r>
    <r>
      <rPr>
        <sz val="10"/>
        <color rgb="FF000000"/>
        <rFont val="Times New Roman"/>
        <family val="1"/>
        <charset val="238"/>
      </rPr>
      <t xml:space="preserve"> EONIA index hozamán felül elért hozam 30 %-a</t>
    </r>
  </si>
  <si>
    <r>
      <t xml:space="preserve">A befektetési alap Teljesítménydíjat fizet a </t>
    </r>
    <r>
      <rPr>
        <b/>
        <sz val="10"/>
        <color theme="1"/>
        <rFont val="Times New Roman"/>
        <family val="1"/>
        <charset val="238"/>
      </rPr>
      <t>vezető forgalmazónak</t>
    </r>
    <r>
      <rPr>
        <sz val="10"/>
        <color theme="1"/>
        <rFont val="Times New Roman"/>
        <family val="1"/>
        <charset val="238"/>
      </rPr>
      <t xml:space="preserve">, ha az Alap hozama meghaladja az </t>
    </r>
    <r>
      <rPr>
        <sz val="10"/>
        <color rgb="FF000000"/>
        <rFont val="Times New Roman"/>
        <family val="1"/>
        <charset val="238"/>
      </rPr>
      <t xml:space="preserve">RMAX  </t>
    </r>
    <r>
      <rPr>
        <sz val="10"/>
        <color theme="1"/>
        <rFont val="Times New Roman"/>
        <family val="1"/>
        <charset val="238"/>
      </rPr>
      <t>index hozamát. A Teljesítménydíj mértéke az alap</t>
    </r>
    <r>
      <rPr>
        <sz val="10"/>
        <color rgb="FF000000"/>
        <rFont val="Times New Roman"/>
        <family val="1"/>
        <charset val="238"/>
      </rPr>
      <t xml:space="preserve"> RMAX index hozamán felül elért hozam 30 %-a</t>
    </r>
  </si>
  <si>
    <r>
      <t xml:space="preserve">max. 2,0%, ami </t>
    </r>
    <r>
      <rPr>
        <b/>
        <sz val="10"/>
        <color indexed="8"/>
        <rFont val="Calibri"/>
        <family val="2"/>
        <charset val="238"/>
      </rPr>
      <t>magában foglalja</t>
    </r>
    <r>
      <rPr>
        <sz val="10"/>
        <color indexed="8"/>
        <rFont val="Calibri"/>
        <family val="2"/>
        <charset val="238"/>
      </rPr>
      <t xml:space="preserve"> az üzemeltetéséhez kapcsolódó menedzsment díját, amely max 0.4%, és az alvállalkozó (likviditás menedzsment) díját, amely max. 0.01%</t>
    </r>
  </si>
  <si>
    <t>K&amp;H Amerika Alap</t>
  </si>
  <si>
    <t>HU0000701982</t>
  </si>
  <si>
    <t>K&amp;H</t>
  </si>
  <si>
    <t>K&amp;H Aranykosár Alap</t>
  </si>
  <si>
    <t>HU0000702337</t>
  </si>
  <si>
    <t>K&amp;H Ázsia Alap</t>
  </si>
  <si>
    <t>HU0000704432</t>
  </si>
  <si>
    <t>K&amp;H Csúcstámadás</t>
  </si>
  <si>
    <t>HU0000707542</t>
  </si>
  <si>
    <t>K&amp;H Dollár Fix Plusz 3 Származtatott Nyíltvégű Értékpapír Befektetési Alap</t>
  </si>
  <si>
    <t>HU0000705629</t>
  </si>
  <si>
    <t>K&amp;H Euro Fix Plusz 2 Származtatott Nyíltvégű Értékpapír Befektetési Alap</t>
  </si>
  <si>
    <t>HU0000705074</t>
  </si>
  <si>
    <t>K&amp;H Euro Fix Plusz 3 Származtatott Nyíltvégű Értékpapír Befektetési Alap</t>
  </si>
  <si>
    <t>HU0000705355</t>
  </si>
  <si>
    <t>K&amp;H Euro Fix Plusz 6 Származtatott Nyíltvégű Értékpapír Befektetési Alap</t>
  </si>
  <si>
    <t>HU0000705892</t>
  </si>
  <si>
    <t>K&amp;H euró nemzetközi vegyes alapok nyíltvégű befektetési alapja</t>
  </si>
  <si>
    <t>HU0000709175</t>
  </si>
  <si>
    <t>K&amp;H Euro Plusz Származtatott Nyíltvégű Értékpapír Befektetési Alap</t>
  </si>
  <si>
    <t>HU0000706403</t>
  </si>
  <si>
    <t>K&amp;H Feltörekvő Piaci Alapok Alapja</t>
  </si>
  <si>
    <t>HU0000707328</t>
  </si>
  <si>
    <t>K&amp;H Fix Plusz 14 Származtatott Nyíltvégű Értékpapír Befektetési Alap</t>
  </si>
  <si>
    <t>HU0000704465</t>
  </si>
  <si>
    <t>K&amp;H Fix Plusz 15 Származtatott Nyíltvégű Értékpapír Befektetési Alap</t>
  </si>
  <si>
    <t>HU0000711163</t>
  </si>
  <si>
    <t>K&amp;H Fix Plusz 20 Származtatott Nyíltvégű Értékpapír Befektetési Alap</t>
  </si>
  <si>
    <t>HU0000705637</t>
  </si>
  <si>
    <t>K&amp;H fix plusz Rajna Származtatott Nyíltvégű Értékpapír Befektetési Alap</t>
  </si>
  <si>
    <t>HU0000704283</t>
  </si>
  <si>
    <t>K&amp;H Háromszor Fizető 10 Származtatott Zártvégű Értékpapír Befektetési Alap</t>
  </si>
  <si>
    <t>HU0000708979</t>
  </si>
  <si>
    <t>K&amp;H Háromszor Fizető 11 Származtatott Zártvégű Értékpapír Befektetési Alap</t>
  </si>
  <si>
    <t>HU0000709472</t>
  </si>
  <si>
    <t>K&amp;H háromszor fizető 12 Származtatott Zártvégű Értékpapír Befektetési Alap</t>
  </si>
  <si>
    <t>HU0000710587</t>
  </si>
  <si>
    <t>K&amp;H likviditási elszámoló nyíltvégű alap</t>
  </si>
  <si>
    <t>HU0000707955</t>
  </si>
  <si>
    <t>K&amp;H Háromszor Fizető 9 Származtatott Zártvégű Értékpapír Befektetési Alap</t>
  </si>
  <si>
    <t>HU0000708722</t>
  </si>
  <si>
    <t>K&amp;H háromszor fizető emlékező 2 származtatott nyíltvégű értékpapír befektetési alap</t>
  </si>
  <si>
    <t>HU0000710439</t>
  </si>
  <si>
    <t>K&amp;H Háromszor Fizető emlékező 3 Származtatott Zártvégű Értékpapír Befektetési Alap</t>
  </si>
  <si>
    <t>HU0000710736</t>
  </si>
  <si>
    <t>K&amp;H Háromszor Fizető emlékező 4 Származtatott Zártvégű Értékpapír Befektetési Alap</t>
  </si>
  <si>
    <t>HU0000710983</t>
  </si>
  <si>
    <t>K&amp;H Háromszor Fizető emlékező Származtatott Zártvégű Értékpapír Befektetési Alap</t>
  </si>
  <si>
    <t>HU0000710199</t>
  </si>
  <si>
    <t>K&amp;H háromszor fizető euro 2 Származtatott Nyíltvégű Értékpapír Befektetési Alap</t>
  </si>
  <si>
    <t>HU0000704002</t>
  </si>
  <si>
    <t>K&amp;H hozamváltó 2 Származtatott Nyíltvégű Értékpapír Befektetési Alap</t>
  </si>
  <si>
    <t>HU0000705363</t>
  </si>
  <si>
    <t>K&amp;H hozamváltó 3 Származtatott Zártvégű Értékpapír Befektetési Alap</t>
  </si>
  <si>
    <t>HU0000709803</t>
  </si>
  <si>
    <t>K&amp;H hozamváltó 4 Származtatott Zártvégű Értékpapír Befektetési Alap</t>
  </si>
  <si>
    <t>HU0000710306</t>
  </si>
  <si>
    <t>K&amp;H hozamváltó 5 Származtatott Zártvégű Értékpapír Befektetési Alap</t>
  </si>
  <si>
    <t>HU0000710520</t>
  </si>
  <si>
    <t>K&amp;H Ingatlanpiaci Alap</t>
  </si>
  <si>
    <t>HU0000702287</t>
  </si>
  <si>
    <t>K&amp;H K&amp;H Dollár Négyes Származtatott Nyíltvégű Értékpapír Befektetési Alap</t>
  </si>
  <si>
    <t>HU0000704473</t>
  </si>
  <si>
    <t>K&amp;H K&amp;H Euró Négyes Származtatott Nyíltvégű Értékpapír Befektetési Alap</t>
  </si>
  <si>
    <t>HU0000704408</t>
  </si>
  <si>
    <t>K&amp;H K&amp;H fix plusz energia származtatott nyíltvégű alap Származtatott nyíltvégű Értékpapír Befektetési Alap</t>
  </si>
  <si>
    <t>HU0000708490</t>
  </si>
  <si>
    <t>K&amp;H Kötvény Alap</t>
  </si>
  <si>
    <t>HU0000702345</t>
  </si>
  <si>
    <t>K&amp;H Navigátor Alap</t>
  </si>
  <si>
    <t>HU0000702352</t>
  </si>
  <si>
    <t>K&amp;H négyszer fizető euro származtatott nyíltvégű értékpapír befektetési alap</t>
  </si>
  <si>
    <t>HU0000706890</t>
  </si>
  <si>
    <t>K&amp;H Nyersanyag Alapok Alapja HUF sorozat</t>
  </si>
  <si>
    <t>HU0000708078</t>
  </si>
  <si>
    <t>K&amp;H Nyersanyag Alapok Alapja USD sorozat</t>
  </si>
  <si>
    <t>HU0000708060</t>
  </si>
  <si>
    <t>K&amp;H Öko Alap</t>
  </si>
  <si>
    <t>HU0000705645</t>
  </si>
  <si>
    <t>K&amp;H plusz 3 Származtatott Nyíltvégű Értékpapír Befektetési Alap</t>
  </si>
  <si>
    <t>HU0000703954</t>
  </si>
  <si>
    <t>K&amp;H Plusz Mezőgazdasági Származtatott Nyíltvégű Értékpapír Befektetési Alap</t>
  </si>
  <si>
    <t>HU0000710280</t>
  </si>
  <si>
    <t>K&amp;H prémium hozamváltó Származtatott Zártvégű Értékpapír Befektetési Alap</t>
  </si>
  <si>
    <t>HU0000709266</t>
  </si>
  <si>
    <t>K&amp;H prémium tőkevédett latin-amerika Származtatott Zártvégű Értékpapír Befektetési Alap</t>
  </si>
  <si>
    <t>HU0000710801</t>
  </si>
  <si>
    <t>K&amp;H vagyonvédett portfolió december alap</t>
  </si>
  <si>
    <t>HU0000705967</t>
  </si>
  <si>
    <t>K&amp;H Részvény Alap</t>
  </si>
  <si>
    <t>HU0000702915</t>
  </si>
  <si>
    <t>K&amp;H szakaszos hozamú 5 Származtatott Zártvégű Értékpapír Befektetési Alap</t>
  </si>
  <si>
    <t>HU0000708532</t>
  </si>
  <si>
    <t>K&amp;H Szivárvány 2</t>
  </si>
  <si>
    <t>HU0000707567</t>
  </si>
  <si>
    <t>K&amp;H tőkevédett dollár pénzpiaci alap</t>
  </si>
  <si>
    <t>HU0000705223</t>
  </si>
  <si>
    <t>K&amp;H tőkevédett euró pénzpiaci alap</t>
  </si>
  <si>
    <t>HU0000704127</t>
  </si>
  <si>
    <t>K&amp;H tőkevédett forint pénzpiaci alap</t>
  </si>
  <si>
    <t>HU0000702329</t>
  </si>
  <si>
    <t>K&amp;H tőkevédett forint pénzpiaci alap "e" sorozat</t>
  </si>
  <si>
    <t>HU0000709027</t>
  </si>
  <si>
    <t>K&amp;H tőkevédett forint pénzpiaci alap "i" sorozat</t>
  </si>
  <si>
    <t>HU0000707229</t>
  </si>
  <si>
    <t>K&amp;H Unió Alap</t>
  </si>
  <si>
    <t>HU0000702360</t>
  </si>
  <si>
    <t>K&amp;H Unió Alap EUR sorozat</t>
  </si>
  <si>
    <t>HU0000708342</t>
  </si>
  <si>
    <t>K&amp;H Válogatott 1. Alap</t>
  </si>
  <si>
    <t>HU0000703400</t>
  </si>
  <si>
    <t>K&amp;H Válogatott 2. Alap</t>
  </si>
  <si>
    <t>HU0000703418</t>
  </si>
  <si>
    <t>K&amp;H Válogatott 3. Alap</t>
  </si>
  <si>
    <t>HU0000703426</t>
  </si>
  <si>
    <t>K&amp;H Válogatott 4. Alap</t>
  </si>
  <si>
    <t>HU0000703434</t>
  </si>
  <si>
    <t>K&amp;H háromszor fizető 13 Származtatott Zártvégű Értékpapír Befektetési Alap</t>
  </si>
  <si>
    <t>HU0000711874</t>
  </si>
  <si>
    <t>K&amp;H Háromszor Fizető emlékező 5 Származtatott Zártvégű Értékpapír Befektetési Alap</t>
  </si>
  <si>
    <t>HU0000711114</t>
  </si>
  <si>
    <t>K&amp;H hazai euro kötvény EUR alap</t>
  </si>
  <si>
    <t>HU0000711403</t>
  </si>
  <si>
    <t>K&amp;H hazai euro kötvény HUF alap</t>
  </si>
  <si>
    <t>HU0000711395</t>
  </si>
  <si>
    <t>K&amp;H megtakarítási Cél JÚNIUS alapok alapja</t>
  </si>
  <si>
    <t>HU0000711452</t>
  </si>
  <si>
    <t>K&amp;H négyszer fizető euro 2 Származtatott Zártvégű Értékpapír Befektetési Alap</t>
  </si>
  <si>
    <t>HU0000710959</t>
  </si>
  <si>
    <t>K&amp;H  nemesfém plusz 2 Származtatott Zártvégű Értékpapír Befektetési Alap</t>
  </si>
  <si>
    <t>HU0000711569</t>
  </si>
  <si>
    <t>K&amp;H  növekedés plusz Származtatott Zártvégű Értékpapír Befektetési Alap</t>
  </si>
  <si>
    <t>HU0000711130</t>
  </si>
  <si>
    <t>K&amp;H  növekedés plusz 2 Származtatott Zártvégű Értékpapír Befektetési Alap</t>
  </si>
  <si>
    <t>HU0000711270</t>
  </si>
  <si>
    <t>K&amp;H  olimpia plusz Származtatott Zártvégű Értékpapír Befektetési Alap</t>
  </si>
  <si>
    <t>HU0000711361</t>
  </si>
  <si>
    <t>K&amp;H  plusz német-svájci Származtatott Zártvégű Értékpapír Befektetési Alap</t>
  </si>
  <si>
    <t>HU0000711825</t>
  </si>
  <si>
    <t>K&amp;H  prémium tőkev. orosz&amp;török Származtatott Zártvégű Értékpapír Befektetési Alap</t>
  </si>
  <si>
    <t>HU0000711023</t>
  </si>
  <si>
    <t>K&amp;H  Szakaszos hozamú 6 Származtatott Zártvégű Értékpapír Befektetési Alap</t>
  </si>
  <si>
    <t>HU0000711262</t>
  </si>
  <si>
    <t>K&amp;H  tőkét négy részletben fizető alap Származtatott Zártvégű Értékpapír Befektetési Alap</t>
  </si>
  <si>
    <t>HU0000711577</t>
  </si>
  <si>
    <t>K&amp;H  tőkét részben előre fizető Származtatott Zártvégű Értékpapír Befektetési Alap</t>
  </si>
  <si>
    <t>HU0000710926</t>
  </si>
  <si>
    <t>K&amp;H  tőkét részben előre fizető 2 Származtatott Zártvégű Értékpapír Befektetési Alap</t>
  </si>
  <si>
    <t>HU0000711411</t>
  </si>
  <si>
    <t>K&amp;H  tőkét részben előre fizető 3 Származtatott Zártvégű Értékpapír Befektetési Alap</t>
  </si>
  <si>
    <t>HU0000711510</t>
  </si>
  <si>
    <t>Értékpapíralap</t>
  </si>
  <si>
    <t>Indexkövető alap</t>
  </si>
  <si>
    <t>Egyéb, be nem sorolt alap</t>
  </si>
  <si>
    <t>Részvénytúlsúlyos vegyes alap</t>
  </si>
  <si>
    <t>Afrika</t>
  </si>
  <si>
    <t>Ázsia</t>
  </si>
  <si>
    <t>Bolgár</t>
  </si>
  <si>
    <t>Észak-amerika</t>
  </si>
  <si>
    <t>Fejlett piaci</t>
  </si>
  <si>
    <t>Feltörekvő piaci</t>
  </si>
  <si>
    <t>Globális</t>
  </si>
  <si>
    <t>Közép-kelet európa</t>
  </si>
  <si>
    <t>Orosz</t>
  </si>
  <si>
    <t>Török</t>
  </si>
  <si>
    <t>összes ktg ell.</t>
  </si>
  <si>
    <t>TER ell</t>
  </si>
  <si>
    <t>FirstFund Intézményi Ingatlanbefektetési Alap</t>
  </si>
  <si>
    <t>Az alapre terhelt egyéb költség</t>
  </si>
  <si>
    <t xml:space="preserve">Korrigált  értékpapír kereskedési és bankköltség
</t>
  </si>
  <si>
    <t>Az alapra terhelt összes korrigált költség
(Ft / deviza)</t>
  </si>
  <si>
    <t>A Teljesítménydíj mértéke az alap RMAX index hozamán felül elért hozam 30 %-a</t>
  </si>
  <si>
    <t>Az alaban levő ingatlanok nyilvántartási ára és értékesítési ára különbségének az 50%-ka</t>
  </si>
  <si>
    <t>A Teljesítménydíj mértéke az alap RMAX index hozamán felül elért hozam 20 %-a</t>
  </si>
  <si>
    <t>A Teljesítménydíj mértéke az alap EONIA index hozamán felül elért hozam 30 %-a</t>
  </si>
  <si>
    <t>max. 2,0%, ami magában foglalja az üzemeltetéséhez kapcsolódó menedzsment díját, amely max 0.4%, és az alvállalkozó (likviditás menedzsment) díját, amely max. 0.01%</t>
  </si>
  <si>
    <t>A ZMAX feletti hozam 20%-ka.</t>
  </si>
  <si>
    <t xml:space="preserve"> max 2.0% </t>
  </si>
  <si>
    <t>TER</t>
  </si>
  <si>
    <t>Az alap (sorozat) jellemzői</t>
  </si>
  <si>
    <t>Aberdeen Asset Management Hungary Alapkezelő Zrt.</t>
  </si>
  <si>
    <t>Access Befektetési Alapkezelő Zrt.</t>
  </si>
  <si>
    <t>Adventum Befeketési Alapkezelő Zrt.</t>
  </si>
  <si>
    <t>Allianz Alapkezelő Zrt.</t>
  </si>
  <si>
    <t>Biggeorge's-NV Ingatlan Befektetési Alapkezelő Zrt.</t>
  </si>
  <si>
    <t>Budapest Alapkezelő Zrt.</t>
  </si>
  <si>
    <t>CIB Befektetési Alapkezelő Zrt.</t>
  </si>
  <si>
    <t>Concorde Alapkezelő Zrt.</t>
  </si>
  <si>
    <t>Dialóg Befektetési Alapkezelő Zrt.</t>
  </si>
  <si>
    <t>Equilor Alapkezelő Zrt.</t>
  </si>
  <si>
    <t>Erste Alapkezelő Zrt.</t>
  </si>
  <si>
    <t>Európa Befektetési Alapkezelő Zrt.</t>
  </si>
  <si>
    <t>Finext Befektetési Alapkezelő Zrt.</t>
  </si>
  <si>
    <t>FirstFund Befektetési Alapkezelő Zrt.</t>
  </si>
  <si>
    <t>Generali Alapkezelő Zrt.</t>
  </si>
  <si>
    <t>Hold Befektetési Alapkezelő Zrt.</t>
  </si>
  <si>
    <t>ING Befektetési Alapkezelő Zrt.</t>
  </si>
  <si>
    <t>K&amp;H Befektetési Alapkezelő Zrt.</t>
  </si>
  <si>
    <t>MKB Befektetési Alapkezelő Zrt.</t>
  </si>
  <si>
    <t>OTP Alapkezelő Zrt.</t>
  </si>
  <si>
    <t>OTP Ingatlan Befektetési Alapkezelő Zrt.</t>
  </si>
  <si>
    <t>Pioneer Befektetési Alapkezelő Zrt.</t>
  </si>
  <si>
    <t>Quaestor Befektetési Alapkezelő Zrt.</t>
  </si>
  <si>
    <t>Quantis InvestmentManagement Zrt.</t>
  </si>
  <si>
    <t>Raiffeisen Befektetési Alapkezelő Zrt.</t>
  </si>
  <si>
    <t>Globeserve Befektetési Alapkezelő Zrt.</t>
  </si>
  <si>
    <t>Takarék Alapkezelő Zrt.</t>
  </si>
  <si>
    <t>VM és VM Befektetési Alapkezelő Zrt.</t>
  </si>
  <si>
    <t>AEGON Pénzpiaci Befektetési Alap</t>
  </si>
  <si>
    <t>Aegon Magyarország Befektetési Alapkezelő Zrt.</t>
  </si>
  <si>
    <t>HU0000702303</t>
  </si>
  <si>
    <t>AEGON Lengyel Kötvény Befektetési Alap "A"</t>
  </si>
  <si>
    <t>HU0000705256</t>
  </si>
  <si>
    <t>AEGON Lengyel Kötvény Befektetési Alap "I"</t>
  </si>
  <si>
    <t>HU0000710942</t>
  </si>
  <si>
    <t>PLN</t>
  </si>
  <si>
    <t>AEGON Belföldi Kötvény Befektetési Alap</t>
  </si>
  <si>
    <t>HU0000702493</t>
  </si>
  <si>
    <t>AEGON Nemzetközi Kötvény Befektetési Alap</t>
  </si>
  <si>
    <t>HU0000702477</t>
  </si>
  <si>
    <t>AEGON EuroExpressz Befektetési Alap</t>
  </si>
  <si>
    <t>HU0000706114</t>
  </si>
  <si>
    <t>AEGON Ázsia Részvény Befektetési Alapok Alapja "A"</t>
  </si>
  <si>
    <t>HU0000705272</t>
  </si>
  <si>
    <t>AEGON Ázsia Részvény Befektetési Alapok Alapja "B"</t>
  </si>
  <si>
    <t>HU0000705934 </t>
  </si>
  <si>
    <t>AEGON Climate Change Részvény Befektetési Alap "A"</t>
  </si>
  <si>
    <t>HU0000705520</t>
  </si>
  <si>
    <t>AEGON Climate Change Részvény Befektetési Alap "B"</t>
  </si>
  <si>
    <t>HU0000707195</t>
  </si>
  <si>
    <t>AEGON Russia Részvény Befektetési Alap "A"</t>
  </si>
  <si>
    <t>HU0000707401</t>
  </si>
  <si>
    <t>AEGON Russia Részvény Befektetési Alap "P"</t>
  </si>
  <si>
    <t>HU0000710157</t>
  </si>
  <si>
    <t>AEGON Russia Részvény Befektetési Alap "I"</t>
  </si>
  <si>
    <t>HU0000709514</t>
  </si>
  <si>
    <t>AEGON IstanBull Részvény Befektetési Alap "A"</t>
  </si>
  <si>
    <t>HU0000707419</t>
  </si>
  <si>
    <t>AEGON IstanBull Részvény Befektetési Alap "P"</t>
  </si>
  <si>
    <t>HU0000710165</t>
  </si>
  <si>
    <t>AEGON IstanBull Részvény Befektetési Alap "T"</t>
  </si>
  <si>
    <t>HU0000710173</t>
  </si>
  <si>
    <t>TRY</t>
  </si>
  <si>
    <t>AEGON IstanBull Részvény Befektetési Alap "I"</t>
  </si>
  <si>
    <t>HU0000709522</t>
  </si>
  <si>
    <t>AEGON Közép-Európai Részvény Befektetési Alap "A"</t>
  </si>
  <si>
    <t>HU0000702501</t>
  </si>
  <si>
    <t>AEGON Közép-Európai Részvény Befektetési Alap "B"</t>
  </si>
  <si>
    <t>HU0000705926</t>
  </si>
  <si>
    <t>AEGON Közép-Európai Részvény Befektetési Alap "I"</t>
  </si>
  <si>
    <t>HU0000709530</t>
  </si>
  <si>
    <t>AEGON Nemzetközi Részvény Befektetési Alap "A"</t>
  </si>
  <si>
    <t>HU0000702485</t>
  </si>
  <si>
    <t>AEGON Nemzetközi Részvény Befektetési Alap "B"</t>
  </si>
  <si>
    <t>HU0000705918 </t>
  </si>
  <si>
    <t>HU0000708318</t>
  </si>
  <si>
    <t>HU0000705157</t>
  </si>
  <si>
    <t>AEGON Bessa Származtatott Befektetési Alap</t>
  </si>
  <si>
    <t>HU0000705728</t>
  </si>
  <si>
    <t>HU0000703145</t>
  </si>
  <si>
    <t>AEGON Smart Money Befektetési Alapok Alapja</t>
  </si>
  <si>
    <t>HU0000708169</t>
  </si>
  <si>
    <t>HU0000711601</t>
  </si>
  <si>
    <t>HU0000711619</t>
  </si>
  <si>
    <t>AEGON Lengyel Részvény Befektetési Alap "A"</t>
  </si>
  <si>
    <t>HU0000710835</t>
  </si>
  <si>
    <t>AEGON Lengyel Részvény Befektetési Alap "B"</t>
  </si>
  <si>
    <t>HU0000710843</t>
  </si>
  <si>
    <t>AEGON Lengyel Részvény Befektetési Alap "I"</t>
  </si>
  <si>
    <t>HU0000710850</t>
  </si>
  <si>
    <t>AEGON Közép-Európai Vállalati Kötvény Befektetési Alap "A"</t>
  </si>
  <si>
    <t>HU0000709597</t>
  </si>
  <si>
    <t>AEGON Közép-Európai Vállalati Kötvény Befektetési Alap "I"</t>
  </si>
  <si>
    <t>HU0000709605</t>
  </si>
  <si>
    <t>minimum 0,02%, maximum 0,04%</t>
  </si>
  <si>
    <t>minimum 0,015%, maximum 0,035%</t>
  </si>
  <si>
    <r>
      <t xml:space="preserve">AEGON Atticus Alfa Származtatott Befektetési Alap "A"             </t>
    </r>
    <r>
      <rPr>
        <i/>
        <sz val="10"/>
        <rFont val="Times New Roman"/>
        <family val="1"/>
        <charset val="238"/>
      </rPr>
      <t>Névváltozás 2013.04.15. dátummal: AEGON Alfa Származtatott Befektetési Alap "A"</t>
    </r>
  </si>
  <si>
    <r>
      <t xml:space="preserve">AEGON Atticus Alfa Származtatott Befektetési Alap "B"             </t>
    </r>
    <r>
      <rPr>
        <i/>
        <sz val="10"/>
        <rFont val="Times New Roman"/>
        <family val="1"/>
        <charset val="238"/>
      </rPr>
      <t>Névváltozás 2013.04.15. dátummal: AEGON Alfa Származtatott Befektetési Alap "B"</t>
    </r>
  </si>
  <si>
    <r>
      <t xml:space="preserve">AEGON Ózon Éves Tőkevédett Származtatott Befektetési Alap      </t>
    </r>
    <r>
      <rPr>
        <i/>
        <sz val="10"/>
        <rFont val="Times New Roman"/>
        <family val="1"/>
        <charset val="238"/>
      </rPr>
      <t xml:space="preserve"> Névváltozás 2013.04.15. dátummal: Aegon Ózon Éves Tőkevédett Befektetési Alap</t>
    </r>
  </si>
  <si>
    <r>
      <t xml:space="preserve">AEGON MoneyMaxx Expressz Vegyes Befektetési Alap                </t>
    </r>
    <r>
      <rPr>
        <i/>
        <sz val="10"/>
        <rFont val="Times New Roman"/>
        <family val="1"/>
        <charset val="238"/>
      </rPr>
      <t xml:space="preserve"> Névváltozás 2013.04.15. dátummal: AEGON MoneyMaxx Expressz Abszolút Hozamú Befektetési Alap</t>
    </r>
  </si>
  <si>
    <r>
      <t xml:space="preserve">AEGON Bezpieczny Kötvény Befektetési Alap "A"          </t>
    </r>
    <r>
      <rPr>
        <i/>
        <sz val="10"/>
        <rFont val="Times New Roman"/>
        <family val="1"/>
        <charset val="238"/>
      </rPr>
      <t>Névváltozás 2014.05.12. dátummal, névváltozás UTÁNI érték: AEGON Lengyel Pénzpiaci Befektetési Alap "A"</t>
    </r>
  </si>
  <si>
    <r>
      <t xml:space="preserve">AEGON Bezpieczny Kötvény Befektetési Alap "I"          </t>
    </r>
    <r>
      <rPr>
        <i/>
        <sz val="10"/>
        <rFont val="Times New Roman"/>
        <family val="1"/>
        <charset val="238"/>
      </rPr>
      <t>Névváltozás 2014.05.12. dátummal, névváltozás UTÁNI érték: AEGON Lengyel Pénzpiaci Befektetési Alap "I"</t>
    </r>
  </si>
  <si>
    <t>Alapkezelési díj/összes korrigált költség</t>
  </si>
  <si>
    <t>Letétkezelési díj/összes korrigált költség</t>
  </si>
  <si>
    <t>Alapkezelési díj/SÁNE</t>
  </si>
  <si>
    <t>Letétkezelési díj/SÁNE</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</si>
</sst>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1" formatCode="_-* #,##0\ _F_t_-;\-* #,##0\ _F_t_-;_-* &quot;-&quot;\ _F_t_-;_-@_-"/>
    <numFmt numFmtId="44" formatCode="_-* #,##0.00\ &quot;Ft&quot;_-;\-* #,##0.00\ &quot;Ft&quot;_-;_-* &quot;-&quot;??\ &quot;Ft&quot;_-;_-@_-"/>
    <numFmt numFmtId="43" formatCode="_-* #,##0.00\ _F_t_-;\-* #,##0.00\ _F_t_-;_-* &quot;-&quot;??\ _F_t_-;_-@_-"/>
    <numFmt numFmtId="164" formatCode="_-* #,##0.00_-;\-* #,##0.00_-;_-* &quot;-&quot;??_-;_-@_-"/>
    <numFmt numFmtId="165" formatCode="0.000%"/>
    <numFmt numFmtId="166" formatCode="0.0000"/>
    <numFmt numFmtId="167" formatCode="_-* #,##0\ _F_t_-;\-* #,##0\ _F_t_-;_-* &quot;-&quot;??\ _F_t_-;_-@_-"/>
    <numFmt numFmtId="168" formatCode="&quot;max. &quot;0.00%"/>
    <numFmt numFmtId="169" formatCode="yyyy\/mm\/dd"/>
    <numFmt numFmtId="170" formatCode="yyyy/mm/dd;@"/>
    <numFmt numFmtId="171" formatCode="0.0000%"/>
    <numFmt numFmtId="172" formatCode="_(* #,##0_);_(* \(#,##0\);_(* &quot;-&quot;??_);_(@_)"/>
    <numFmt numFmtId="173" formatCode="#,##0.0000"/>
    <numFmt numFmtId="174" formatCode="_(* #,##0.000000_);_(* \(#,##0.000000\);_(* &quot;-&quot;??_);_(@_)"/>
    <numFmt numFmtId="175" formatCode="0.0%"/>
    <numFmt numFmtId="176" formatCode="#,##0_ ;\-#,##0\ "/>
    <numFmt numFmtId="177" formatCode="_(* #,##0.00_);_(* \(#,##0.00\);_(* &quot;-&quot;??_);_(@_)"/>
  </numFmts>
  <fonts count="46">
    <font>
      <sz val="11"/>
      <color theme="1"/>
      <name val="Calibri"/>
      <family val="2"/>
      <charset val="238"/>
      <scheme val="minor"/>
    </font>
    <font>
      <sz val="10"/>
      <name val="Arial"/>
      <family val="2"/>
      <charset val="238"/>
    </font>
    <font>
      <b/>
      <sz val="10"/>
      <color indexed="8"/>
      <name val="Times New Roman"/>
      <family val="1"/>
      <charset val="238"/>
    </font>
    <font>
      <sz val="10"/>
      <name val="Times New Roman"/>
      <family val="1"/>
      <charset val="238"/>
    </font>
    <font>
      <b/>
      <sz val="10"/>
      <name val="Times New Roman"/>
      <family val="1"/>
      <charset val="238"/>
    </font>
    <font>
      <sz val="11"/>
      <color theme="1"/>
      <name val="Calibri"/>
      <family val="2"/>
      <charset val="238"/>
      <scheme val="minor"/>
    </font>
    <font>
      <sz val="11"/>
      <color theme="1"/>
      <name val="Times New Roman"/>
      <family val="2"/>
      <charset val="238"/>
    </font>
    <font>
      <b/>
      <sz val="8"/>
      <color indexed="81"/>
      <name val="Tahoma"/>
      <family val="2"/>
    </font>
    <font>
      <sz val="8"/>
      <color indexed="81"/>
      <name val="Tahoma"/>
      <family val="2"/>
    </font>
    <font>
      <sz val="10"/>
      <color theme="1"/>
      <name val="Times New Roman"/>
      <family val="1"/>
      <charset val="238"/>
    </font>
    <font>
      <sz val="10"/>
      <name val="GE Inspira"/>
      <family val="2"/>
      <charset val="238"/>
    </font>
    <font>
      <sz val="10"/>
      <color theme="1"/>
      <name val="Calibri"/>
      <family val="2"/>
      <charset val="238"/>
      <scheme val="minor"/>
    </font>
    <font>
      <sz val="10"/>
      <name val="Arial"/>
      <family val="2"/>
      <charset val="238"/>
    </font>
    <font>
      <sz val="10"/>
      <color indexed="8"/>
      <name val="Tahoma"/>
      <family val="2"/>
      <charset val="238"/>
    </font>
    <font>
      <sz val="10"/>
      <color indexed="60"/>
      <name val="Tahoma"/>
      <family val="2"/>
      <charset val="238"/>
    </font>
    <font>
      <sz val="10"/>
      <name val="Tahoma"/>
      <family val="2"/>
      <charset val="238"/>
    </font>
    <font>
      <sz val="10"/>
      <color indexed="10"/>
      <name val="Tahoma"/>
      <family val="2"/>
      <charset val="238"/>
    </font>
    <font>
      <sz val="11"/>
      <color indexed="8"/>
      <name val="Calibri"/>
      <family val="2"/>
      <charset val="238"/>
    </font>
    <font>
      <sz val="10"/>
      <color theme="1"/>
      <name val="Arial"/>
      <family val="2"/>
      <charset val="238"/>
    </font>
    <font>
      <b/>
      <sz val="9"/>
      <color indexed="81"/>
      <name val="Tahoma"/>
      <family val="2"/>
      <charset val="238"/>
    </font>
    <font>
      <sz val="9"/>
      <color indexed="81"/>
      <name val="Tahoma"/>
      <family val="2"/>
      <charset val="238"/>
    </font>
    <font>
      <sz val="10"/>
      <name val="Verdana"/>
      <family val="2"/>
      <charset val="238"/>
    </font>
    <font>
      <sz val="10"/>
      <color indexed="8"/>
      <name val="Arial"/>
      <family val="2"/>
      <charset val="238"/>
    </font>
    <font>
      <b/>
      <sz val="8"/>
      <color indexed="81"/>
      <name val="Tahoma"/>
      <family val="2"/>
      <charset val="238"/>
    </font>
    <font>
      <sz val="8"/>
      <color indexed="81"/>
      <name val="Tahoma"/>
      <family val="2"/>
      <charset val="238"/>
    </font>
    <font>
      <sz val="10"/>
      <name val="Arial CE"/>
      <charset val="238"/>
    </font>
    <font>
      <b/>
      <sz val="10"/>
      <color theme="1"/>
      <name val="Times New Roman"/>
      <family val="1"/>
      <charset val="238"/>
    </font>
    <font>
      <sz val="10"/>
      <color indexed="8"/>
      <name val="Times New Roman"/>
      <family val="1"/>
      <charset val="238"/>
    </font>
    <font>
      <sz val="10"/>
      <color rgb="FF000000"/>
      <name val="Times New Roman"/>
      <family val="1"/>
      <charset val="238"/>
    </font>
    <font>
      <sz val="10"/>
      <color indexed="8"/>
      <name val="Calibri"/>
      <family val="2"/>
      <charset val="238"/>
    </font>
    <font>
      <sz val="10"/>
      <color theme="1"/>
      <name val="GE Inspira"/>
      <family val="2"/>
      <charset val="238"/>
    </font>
    <font>
      <sz val="10"/>
      <name val="Calibri"/>
      <family val="2"/>
      <charset val="238"/>
      <scheme val="minor"/>
    </font>
    <font>
      <b/>
      <sz val="10"/>
      <color indexed="8"/>
      <name val="Calibri"/>
      <family val="2"/>
      <charset val="238"/>
    </font>
    <font>
      <sz val="10"/>
      <color indexed="8"/>
      <name val="Arial CE"/>
      <charset val="238"/>
    </font>
    <font>
      <b/>
      <sz val="10"/>
      <color indexed="8"/>
      <name val="Arial CE"/>
      <charset val="238"/>
    </font>
    <font>
      <sz val="10"/>
      <color indexed="8"/>
      <name val="Calibri"/>
      <family val="2"/>
      <charset val="238"/>
      <scheme val="minor"/>
    </font>
    <font>
      <sz val="10"/>
      <color indexed="8"/>
      <name val="Futura CE Book"/>
      <charset val="238"/>
    </font>
    <font>
      <b/>
      <sz val="10"/>
      <color theme="1"/>
      <name val="Calibri"/>
      <family val="2"/>
      <charset val="238"/>
      <scheme val="minor"/>
    </font>
    <font>
      <sz val="10"/>
      <color rgb="FFFF0000"/>
      <name val="Times New Roman"/>
      <family val="1"/>
      <charset val="238"/>
    </font>
    <font>
      <sz val="10"/>
      <color indexed="8"/>
      <name val="Arial"/>
      <family val="2"/>
    </font>
    <font>
      <i/>
      <sz val="10"/>
      <name val="Times New Roman"/>
      <family val="1"/>
      <charset val="238"/>
    </font>
    <font>
      <sz val="11"/>
      <color indexed="8"/>
      <name val="Times New Roman"/>
      <family val="2"/>
      <charset val="238"/>
    </font>
    <font>
      <sz val="12"/>
      <name val="HZapf Calligraphic 801"/>
    </font>
    <font>
      <sz val="10"/>
      <name val="Times New Roman CE"/>
      <charset val="238"/>
    </font>
    <font>
      <sz val="10"/>
      <name val="H-Times New Roman"/>
      <charset val="238"/>
    </font>
    <font>
      <sz val="11"/>
      <color theme="1"/>
      <name val="Calibri"/>
      <family val="2"/>
      <scheme val="minor"/>
    </font>
  </fonts>
  <fills count="52">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
      <patternFill patternType="solid">
        <fgColor theme="0" tint="-0.14996795556505021"/>
        <bgColor indexed="64"/>
      </patternFill>
    </fill>
    <fill>
      <patternFill patternType="solid">
        <fgColor theme="0"/>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rgb="FFFF6699"/>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FF99"/>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rgb="FFFFCCCC"/>
        <bgColor indexed="64"/>
      </patternFill>
    </fill>
    <fill>
      <patternFill patternType="solid">
        <fgColor rgb="FFCCFFFF"/>
        <bgColor indexed="64"/>
      </patternFill>
    </fill>
    <fill>
      <patternFill patternType="solid">
        <fgColor rgb="FFCCECFF"/>
        <bgColor indexed="64"/>
      </patternFill>
    </fill>
    <fill>
      <patternFill patternType="solid">
        <fgColor rgb="FFFFCCFF"/>
        <bgColor indexed="64"/>
      </patternFill>
    </fill>
    <fill>
      <patternFill patternType="solid">
        <fgColor rgb="FFCCCCFF"/>
        <bgColor indexed="64"/>
      </patternFill>
    </fill>
    <fill>
      <patternFill patternType="solid">
        <fgColor indexed="1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6"/>
      </patternFill>
    </fill>
  </fills>
  <borders count="2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top/>
      <bottom/>
      <diagonal/>
    </border>
    <border>
      <left style="medium">
        <color indexed="64"/>
      </left>
      <right/>
      <top/>
      <bottom style="thin">
        <color indexed="64"/>
      </bottom>
      <diagonal/>
    </border>
    <border>
      <left style="thick">
        <color indexed="8"/>
      </left>
      <right style="thin">
        <color indexed="64"/>
      </right>
      <top style="thin">
        <color indexed="64"/>
      </top>
      <bottom style="thin">
        <color indexed="8"/>
      </bottom>
      <diagonal/>
    </border>
    <border>
      <left/>
      <right style="thin">
        <color indexed="64"/>
      </right>
      <top style="thin">
        <color indexed="64"/>
      </top>
      <bottom/>
      <diagonal/>
    </border>
    <border>
      <left style="thick">
        <color indexed="8"/>
      </left>
      <right style="thin">
        <color indexed="64"/>
      </right>
      <top style="thin">
        <color indexed="8"/>
      </top>
      <bottom style="thin">
        <color indexed="8"/>
      </bottom>
      <diagonal/>
    </border>
    <border>
      <left/>
      <right style="thin">
        <color indexed="64"/>
      </right>
      <top/>
      <bottom style="thin">
        <color indexed="8"/>
      </bottom>
      <diagonal/>
    </border>
    <border>
      <left style="thin">
        <color indexed="64"/>
      </left>
      <right style="thin">
        <color indexed="64"/>
      </right>
      <top style="thin">
        <color indexed="64"/>
      </top>
      <bottom style="thin">
        <color indexed="8"/>
      </bottom>
      <diagonal/>
    </border>
    <border>
      <left style="thin">
        <color indexed="64"/>
      </left>
      <right style="thin">
        <color indexed="64"/>
      </right>
      <top/>
      <bottom style="thin">
        <color indexed="8"/>
      </bottom>
      <diagonal/>
    </border>
    <border>
      <left style="thin">
        <color indexed="22"/>
      </left>
      <right style="thin">
        <color indexed="22"/>
      </right>
      <top style="thin">
        <color indexed="22"/>
      </top>
      <bottom style="thin">
        <color indexed="22"/>
      </bottom>
      <diagonal/>
    </border>
  </borders>
  <cellStyleXfs count="408">
    <xf numFmtId="0" fontId="0" fillId="0" borderId="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8" applyNumberFormat="0" applyFont="0" applyAlignment="0" applyProtection="0"/>
    <xf numFmtId="0" fontId="6" fillId="14" borderId="8" applyNumberFormat="0" applyFont="0" applyAlignment="0" applyProtection="0"/>
    <xf numFmtId="0" fontId="6" fillId="14" borderId="8" applyNumberFormat="0" applyFont="0" applyAlignment="0" applyProtection="0"/>
    <xf numFmtId="0" fontId="6" fillId="14" borderId="8" applyNumberFormat="0" applyFont="0" applyAlignment="0" applyProtection="0"/>
    <xf numFmtId="0" fontId="6" fillId="14" borderId="8" applyNumberFormat="0" applyFont="0" applyAlignment="0" applyProtection="0"/>
    <xf numFmtId="0" fontId="1" fillId="0" borderId="0"/>
    <xf numFmtId="0" fontId="1" fillId="0" borderId="0"/>
    <xf numFmtId="9"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0" fontId="5" fillId="0" borderId="0"/>
    <xf numFmtId="0" fontId="12" fillId="0" borderId="0"/>
    <xf numFmtId="0" fontId="5" fillId="0" borderId="0"/>
    <xf numFmtId="0" fontId="22" fillId="0" borderId="0">
      <alignment horizontal="left" vertical="center" wrapText="1"/>
    </xf>
    <xf numFmtId="0" fontId="17" fillId="0" borderId="0"/>
    <xf numFmtId="164" fontId="5" fillId="0" borderId="0" applyFont="0" applyFill="0" applyBorder="0" applyAlignment="0" applyProtection="0"/>
    <xf numFmtId="0" fontId="22" fillId="0" borderId="0" applyFill="0">
      <alignment horizontal="left" vertical="center" wrapText="1"/>
    </xf>
    <xf numFmtId="0" fontId="39" fillId="0" borderId="0" applyFill="0">
      <alignment horizontal="left" vertical="center" wrapText="1"/>
    </xf>
    <xf numFmtId="0" fontId="17" fillId="0" borderId="0"/>
    <xf numFmtId="0" fontId="17" fillId="0" borderId="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5" fillId="0" borderId="0" applyFont="0" applyFill="0" applyBorder="0" applyAlignment="0" applyProtection="0"/>
    <xf numFmtId="177" fontId="17" fillId="0" borderId="0" applyFont="0" applyFill="0" applyBorder="0" applyAlignment="0" applyProtection="0"/>
    <xf numFmtId="0" fontId="17" fillId="51" borderId="25" applyNumberFormat="0" applyFont="0" applyAlignment="0" applyProtection="0"/>
    <xf numFmtId="0" fontId="17" fillId="51" borderId="25" applyNumberFormat="0" applyFont="0" applyAlignment="0" applyProtection="0"/>
    <xf numFmtId="0" fontId="17" fillId="51" borderId="25" applyNumberFormat="0" applyFont="0" applyAlignment="0" applyProtection="0"/>
    <xf numFmtId="0" fontId="17" fillId="51" borderId="25" applyNumberFormat="0" applyFont="0" applyAlignment="0" applyProtection="0"/>
    <xf numFmtId="0" fontId="17" fillId="51" borderId="25" applyNumberFormat="0" applyFont="0" applyAlignment="0" applyProtection="0"/>
    <xf numFmtId="0" fontId="17" fillId="51" borderId="25" applyNumberFormat="0" applyFont="0" applyAlignment="0" applyProtection="0"/>
    <xf numFmtId="0" fontId="17" fillId="51" borderId="25"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6"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51" borderId="25"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6"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51" borderId="25"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6"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51" borderId="25"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6"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51" borderId="25"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6"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14" borderId="8" applyNumberFormat="0" applyFont="0" applyAlignment="0" applyProtection="0"/>
    <xf numFmtId="0" fontId="41" fillId="51" borderId="25" applyNumberFormat="0" applyFont="0" applyAlignment="0" applyProtection="0"/>
    <xf numFmtId="0" fontId="17" fillId="51" borderId="25" applyNumberFormat="0" applyFont="0" applyAlignment="0" applyProtection="0"/>
    <xf numFmtId="0" fontId="17" fillId="51" borderId="25" applyNumberFormat="0" applyFont="0" applyAlignment="0" applyProtection="0"/>
    <xf numFmtId="0" fontId="17" fillId="51" borderId="25" applyNumberFormat="0" applyFont="0" applyAlignment="0" applyProtection="0"/>
    <xf numFmtId="0" fontId="17" fillId="51" borderId="25" applyNumberFormat="0" applyFont="0" applyAlignment="0" applyProtection="0"/>
    <xf numFmtId="0" fontId="17" fillId="51" borderId="25" applyNumberFormat="0" applyFont="0" applyAlignment="0" applyProtection="0"/>
    <xf numFmtId="0" fontId="17" fillId="51" borderId="25" applyNumberFormat="0" applyFont="0" applyAlignment="0" applyProtection="0"/>
    <xf numFmtId="0" fontId="17" fillId="51" borderId="25" applyNumberFormat="0" applyFont="0" applyAlignment="0" applyProtection="0"/>
    <xf numFmtId="0" fontId="43" fillId="0" borderId="0"/>
    <xf numFmtId="0" fontId="45" fillId="0" borderId="0"/>
    <xf numFmtId="0" fontId="5" fillId="0" borderId="0"/>
    <xf numFmtId="0" fontId="45" fillId="0" borderId="0"/>
    <xf numFmtId="0" fontId="5" fillId="0" borderId="0">
      <alignment vertical="top"/>
    </xf>
    <xf numFmtId="0" fontId="45" fillId="0" borderId="0"/>
    <xf numFmtId="0" fontId="1" fillId="0" borderId="0"/>
    <xf numFmtId="0" fontId="42" fillId="0" borderId="0"/>
    <xf numFmtId="0" fontId="44" fillId="0" borderId="0"/>
    <xf numFmtId="44" fontId="17" fillId="0" borderId="0" applyFont="0" applyFill="0" applyBorder="0" applyAlignment="0" applyProtection="0"/>
    <xf numFmtId="44" fontId="5"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5" fillId="0" borderId="0" applyFont="0" applyFill="0" applyBorder="0" applyAlignment="0" applyProtection="0"/>
  </cellStyleXfs>
  <cellXfs count="962">
    <xf numFmtId="0" fontId="0" fillId="0" borderId="0" xfId="0"/>
    <xf numFmtId="10" fontId="2" fillId="15" borderId="1" xfId="66" applyNumberFormat="1" applyFont="1" applyFill="1" applyBorder="1" applyAlignment="1">
      <alignment horizontal="center" vertical="center" wrapText="1"/>
    </xf>
    <xf numFmtId="0" fontId="2" fillId="15" borderId="2" xfId="66" applyNumberFormat="1" applyFont="1" applyFill="1" applyBorder="1" applyAlignment="1">
      <alignment horizontal="center" vertical="center" wrapText="1"/>
    </xf>
    <xf numFmtId="10" fontId="4" fillId="15" borderId="1" xfId="66" applyNumberFormat="1" applyFont="1" applyFill="1" applyBorder="1" applyAlignment="1">
      <alignment horizontal="center" vertical="center" wrapText="1"/>
    </xf>
    <xf numFmtId="0" fontId="4" fillId="15" borderId="2" xfId="66" applyNumberFormat="1" applyFont="1" applyFill="1" applyBorder="1" applyAlignment="1">
      <alignment horizontal="center" vertical="center" wrapText="1"/>
    </xf>
    <xf numFmtId="1" fontId="4" fillId="15" borderId="2" xfId="68" applyNumberFormat="1" applyFont="1" applyFill="1" applyBorder="1" applyAlignment="1">
      <alignment horizontal="center" vertical="center" wrapText="1"/>
    </xf>
    <xf numFmtId="0" fontId="2" fillId="15" borderId="2" xfId="66" applyFont="1" applyFill="1" applyBorder="1" applyAlignment="1">
      <alignment horizontal="center" vertical="center" wrapText="1"/>
    </xf>
    <xf numFmtId="10" fontId="2" fillId="15" borderId="2" xfId="66" applyNumberFormat="1" applyFont="1" applyFill="1" applyBorder="1" applyAlignment="1">
      <alignment horizontal="center" vertical="center" wrapText="1"/>
    </xf>
    <xf numFmtId="10" fontId="4" fillId="15" borderId="2" xfId="66" applyNumberFormat="1" applyFont="1" applyFill="1" applyBorder="1" applyAlignment="1">
      <alignment horizontal="center" vertical="center" wrapText="1"/>
    </xf>
    <xf numFmtId="0" fontId="3" fillId="0" borderId="1" xfId="0" applyFont="1" applyBorder="1" applyAlignment="1">
      <alignment horizontal="center" vertical="center"/>
    </xf>
    <xf numFmtId="0" fontId="13" fillId="0" borderId="2" xfId="0" applyFont="1" applyBorder="1" applyAlignment="1">
      <alignment vertical="center"/>
    </xf>
    <xf numFmtId="0" fontId="13" fillId="0" borderId="2" xfId="0" applyFont="1" applyBorder="1" applyAlignment="1">
      <alignment horizontal="center" vertical="center"/>
    </xf>
    <xf numFmtId="10" fontId="13" fillId="0" borderId="2" xfId="0" applyNumberFormat="1" applyFont="1" applyBorder="1" applyAlignment="1">
      <alignment horizontal="center" vertical="center"/>
    </xf>
    <xf numFmtId="0" fontId="14" fillId="0" borderId="2" xfId="0" applyFont="1" applyBorder="1" applyAlignment="1">
      <alignment horizontal="center" vertical="center"/>
    </xf>
    <xf numFmtId="0" fontId="14" fillId="0" borderId="2" xfId="0" applyFont="1" applyBorder="1" applyAlignment="1">
      <alignment vertical="center"/>
    </xf>
    <xf numFmtId="10" fontId="16" fillId="0" borderId="2" xfId="0" applyNumberFormat="1" applyFont="1" applyBorder="1" applyAlignment="1">
      <alignment horizontal="center" vertical="center"/>
    </xf>
    <xf numFmtId="169" fontId="13" fillId="0" borderId="2" xfId="0" applyNumberFormat="1" applyFont="1" applyBorder="1" applyAlignment="1">
      <alignment horizontal="center" vertical="center"/>
    </xf>
    <xf numFmtId="0" fontId="16" fillId="0" borderId="2" xfId="0" applyFont="1" applyBorder="1" applyAlignment="1">
      <alignment horizontal="center" vertical="center"/>
    </xf>
    <xf numFmtId="169" fontId="14" fillId="0" borderId="2" xfId="0" applyNumberFormat="1" applyFont="1" applyBorder="1" applyAlignment="1">
      <alignment horizontal="center" vertical="center"/>
    </xf>
    <xf numFmtId="10" fontId="14" fillId="0" borderId="2" xfId="0" applyNumberFormat="1" applyFont="1" applyBorder="1" applyAlignment="1">
      <alignment horizontal="center" vertical="center"/>
    </xf>
    <xf numFmtId="0" fontId="13" fillId="0" borderId="2" xfId="0" applyFont="1" applyBorder="1" applyAlignment="1">
      <alignment horizontal="center" vertical="center" wrapText="1"/>
    </xf>
    <xf numFmtId="0" fontId="13"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10" fontId="1" fillId="0" borderId="2" xfId="68"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10" fontId="1" fillId="0" borderId="2" xfId="0" applyNumberFormat="1" applyFont="1" applyFill="1" applyBorder="1" applyAlignment="1">
      <alignment horizontal="center" vertical="center" wrapText="1"/>
    </xf>
    <xf numFmtId="0" fontId="3" fillId="0" borderId="0" xfId="0" applyFont="1" applyBorder="1" applyAlignment="1">
      <alignment vertical="center" wrapText="1"/>
    </xf>
    <xf numFmtId="0" fontId="2" fillId="15" borderId="2" xfId="66" applyNumberFormat="1" applyFont="1" applyFill="1" applyBorder="1" applyAlignment="1">
      <alignment vertical="center" wrapText="1"/>
    </xf>
    <xf numFmtId="0" fontId="3" fillId="0" borderId="1" xfId="0" applyFont="1" applyBorder="1" applyAlignment="1">
      <alignment vertical="center"/>
    </xf>
    <xf numFmtId="10" fontId="15" fillId="0" borderId="2" xfId="0" applyNumberFormat="1" applyFont="1" applyBorder="1" applyAlignment="1">
      <alignment horizontal="center" vertical="center"/>
    </xf>
    <xf numFmtId="3" fontId="2" fillId="15" borderId="2" xfId="66" applyNumberFormat="1" applyFont="1" applyFill="1" applyBorder="1" applyAlignment="1">
      <alignment horizontal="center" vertical="center" wrapText="1"/>
    </xf>
    <xf numFmtId="3" fontId="13" fillId="0" borderId="2" xfId="0" applyNumberFormat="1" applyFont="1" applyBorder="1" applyAlignment="1">
      <alignment horizontal="right" vertical="center"/>
    </xf>
    <xf numFmtId="3" fontId="16" fillId="0" borderId="2" xfId="0" applyNumberFormat="1" applyFont="1" applyBorder="1" applyAlignment="1">
      <alignment horizontal="right" vertical="center"/>
    </xf>
    <xf numFmtId="3" fontId="14" fillId="0" borderId="2" xfId="0" applyNumberFormat="1" applyFont="1" applyBorder="1" applyAlignment="1">
      <alignment horizontal="right" vertical="center"/>
    </xf>
    <xf numFmtId="3" fontId="4" fillId="15" borderId="2" xfId="66" applyNumberFormat="1" applyFont="1" applyFill="1" applyBorder="1" applyAlignment="1">
      <alignment horizontal="center" vertical="center" wrapText="1"/>
    </xf>
    <xf numFmtId="3" fontId="13" fillId="0" borderId="2" xfId="0" applyNumberFormat="1" applyFont="1" applyFill="1" applyBorder="1" applyAlignment="1">
      <alignment horizontal="right" vertical="center"/>
    </xf>
    <xf numFmtId="3" fontId="16" fillId="0" borderId="2" xfId="0" applyNumberFormat="1" applyFont="1" applyFill="1" applyBorder="1" applyAlignment="1">
      <alignment horizontal="right" vertical="center"/>
    </xf>
    <xf numFmtId="3" fontId="14" fillId="0" borderId="2" xfId="0" applyNumberFormat="1" applyFont="1" applyFill="1" applyBorder="1" applyAlignment="1">
      <alignment horizontal="right" vertical="center"/>
    </xf>
    <xf numFmtId="166" fontId="27" fillId="16" borderId="0" xfId="0" applyNumberFormat="1" applyFont="1" applyFill="1" applyAlignment="1">
      <alignment horizontal="center" vertical="center"/>
    </xf>
    <xf numFmtId="166" fontId="9" fillId="16" borderId="0" xfId="0" applyNumberFormat="1" applyFont="1" applyFill="1" applyAlignment="1">
      <alignment horizontal="center" vertical="center"/>
    </xf>
    <xf numFmtId="0" fontId="3" fillId="0" borderId="2" xfId="0" applyFont="1" applyBorder="1" applyAlignment="1">
      <alignment horizontal="center" vertical="center"/>
    </xf>
    <xf numFmtId="3" fontId="3" fillId="0" borderId="2" xfId="0" applyNumberFormat="1" applyFont="1" applyBorder="1" applyAlignment="1">
      <alignment horizontal="right" vertical="center"/>
    </xf>
    <xf numFmtId="10" fontId="3" fillId="0" borderId="2" xfId="0" applyNumberFormat="1" applyFont="1" applyBorder="1" applyAlignment="1">
      <alignment horizontal="center" vertical="center"/>
    </xf>
    <xf numFmtId="0" fontId="9" fillId="0" borderId="2" xfId="0" applyFont="1" applyFill="1" applyBorder="1" applyAlignment="1">
      <alignment horizontal="center" vertical="center" wrapText="1"/>
    </xf>
    <xf numFmtId="3" fontId="9" fillId="0" borderId="2" xfId="0" applyNumberFormat="1" applyFont="1" applyFill="1" applyBorder="1" applyAlignment="1">
      <alignment horizontal="right" vertical="center" wrapText="1"/>
    </xf>
    <xf numFmtId="9" fontId="9" fillId="0" borderId="2" xfId="0" applyNumberFormat="1" applyFont="1" applyFill="1" applyBorder="1" applyAlignment="1">
      <alignment horizontal="center" vertical="center" wrapText="1"/>
    </xf>
    <xf numFmtId="172" fontId="9" fillId="0" borderId="2" xfId="69" applyNumberFormat="1" applyFont="1" applyFill="1" applyBorder="1" applyAlignment="1">
      <alignment horizontal="center" vertical="center" wrapText="1"/>
    </xf>
    <xf numFmtId="10" fontId="9" fillId="0" borderId="2" xfId="0" applyNumberFormat="1" applyFont="1" applyFill="1" applyBorder="1" applyAlignment="1">
      <alignment horizontal="center" vertical="center" wrapText="1"/>
    </xf>
    <xf numFmtId="3" fontId="9" fillId="0" borderId="2" xfId="0" applyNumberFormat="1" applyFont="1" applyFill="1" applyBorder="1" applyAlignment="1">
      <alignment horizontal="right" vertical="center"/>
    </xf>
    <xf numFmtId="3" fontId="9" fillId="0" borderId="2" xfId="69" applyNumberFormat="1" applyFont="1" applyFill="1" applyBorder="1" applyAlignment="1">
      <alignment horizontal="right" vertical="center" wrapText="1"/>
    </xf>
    <xf numFmtId="0" fontId="3"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10" fontId="3" fillId="0" borderId="2" xfId="0" applyNumberFormat="1" applyFont="1" applyFill="1" applyBorder="1" applyAlignment="1">
      <alignment horizontal="center" vertical="center" wrapText="1"/>
    </xf>
    <xf numFmtId="0" fontId="11" fillId="0" borderId="0" xfId="0" applyFont="1" applyAlignment="1">
      <alignment horizontal="center" vertical="center" wrapText="1"/>
    </xf>
    <xf numFmtId="3" fontId="11" fillId="0" borderId="0" xfId="0" applyNumberFormat="1" applyFont="1" applyAlignment="1">
      <alignment horizontal="right" vertical="center" wrapText="1"/>
    </xf>
    <xf numFmtId="173" fontId="11" fillId="0" borderId="0" xfId="0" applyNumberFormat="1" applyFont="1" applyFill="1" applyAlignment="1">
      <alignment horizontal="center" vertical="center" wrapText="1"/>
    </xf>
    <xf numFmtId="10" fontId="11" fillId="0" borderId="0" xfId="0" applyNumberFormat="1" applyFont="1" applyAlignment="1">
      <alignment horizontal="center" vertical="center" wrapText="1"/>
    </xf>
    <xf numFmtId="0" fontId="22" fillId="0" borderId="0" xfId="74" applyFont="1" applyFill="1" applyBorder="1" applyAlignment="1">
      <alignment horizontal="center" vertical="center"/>
    </xf>
    <xf numFmtId="3" fontId="22" fillId="0" borderId="0" xfId="74" applyNumberFormat="1" applyFont="1" applyFill="1" applyBorder="1" applyAlignment="1">
      <alignment horizontal="right" vertical="center"/>
    </xf>
    <xf numFmtId="14" fontId="22" fillId="0" borderId="0" xfId="74" applyNumberFormat="1" applyFont="1" applyFill="1" applyBorder="1" applyAlignment="1">
      <alignment horizontal="left" vertical="center"/>
    </xf>
    <xf numFmtId="0" fontId="35" fillId="0" borderId="2" xfId="0" applyFont="1" applyFill="1" applyBorder="1" applyAlignment="1">
      <alignment horizontal="center" vertical="center"/>
    </xf>
    <xf numFmtId="0" fontId="35" fillId="0" borderId="7" xfId="0" applyFont="1" applyFill="1" applyBorder="1" applyAlignment="1">
      <alignment horizontal="center" vertical="center" wrapText="1"/>
    </xf>
    <xf numFmtId="10" fontId="35" fillId="0" borderId="2" xfId="0" applyNumberFormat="1" applyFont="1" applyFill="1" applyBorder="1" applyAlignment="1">
      <alignment horizontal="center" vertical="center"/>
    </xf>
    <xf numFmtId="165" fontId="35" fillId="0" borderId="2" xfId="0" applyNumberFormat="1" applyFont="1" applyFill="1" applyBorder="1" applyAlignment="1">
      <alignment horizontal="center" vertical="center"/>
    </xf>
    <xf numFmtId="3" fontId="11" fillId="0" borderId="2" xfId="0" applyNumberFormat="1" applyFont="1" applyFill="1" applyBorder="1" applyAlignment="1">
      <alignment horizontal="right" vertical="center"/>
    </xf>
    <xf numFmtId="0" fontId="35" fillId="0" borderId="3" xfId="0" applyFont="1" applyFill="1" applyBorder="1" applyAlignment="1">
      <alignment horizontal="center" vertical="center"/>
    </xf>
    <xf numFmtId="10" fontId="35" fillId="0" borderId="1" xfId="0" applyNumberFormat="1" applyFont="1" applyFill="1" applyBorder="1" applyAlignment="1">
      <alignment horizontal="center" vertical="center"/>
    </xf>
    <xf numFmtId="3" fontId="35" fillId="0" borderId="1" xfId="0" applyNumberFormat="1" applyFont="1" applyFill="1" applyBorder="1" applyAlignment="1">
      <alignment horizontal="right" vertical="center"/>
    </xf>
    <xf numFmtId="3" fontId="11" fillId="0" borderId="1" xfId="0" applyNumberFormat="1" applyFont="1" applyBorder="1" applyAlignment="1">
      <alignment horizontal="right" vertical="center"/>
    </xf>
    <xf numFmtId="10" fontId="35" fillId="0" borderId="3" xfId="0" applyNumberFormat="1" applyFont="1" applyFill="1" applyBorder="1" applyAlignment="1">
      <alignment horizontal="center" vertical="center"/>
    </xf>
    <xf numFmtId="3" fontId="35" fillId="0" borderId="3" xfId="0" applyNumberFormat="1" applyFont="1" applyFill="1" applyBorder="1" applyAlignment="1">
      <alignment horizontal="right" vertical="center"/>
    </xf>
    <xf numFmtId="3" fontId="11" fillId="0" borderId="3" xfId="0" applyNumberFormat="1" applyFont="1" applyBorder="1" applyAlignment="1">
      <alignment horizontal="right" vertical="center"/>
    </xf>
    <xf numFmtId="10" fontId="35" fillId="0" borderId="4" xfId="0" applyNumberFormat="1" applyFont="1" applyFill="1" applyBorder="1" applyAlignment="1">
      <alignment horizontal="center" vertical="center"/>
    </xf>
    <xf numFmtId="3" fontId="11" fillId="0" borderId="4" xfId="0" applyNumberFormat="1" applyFont="1" applyBorder="1" applyAlignment="1">
      <alignment horizontal="right" vertical="center"/>
    </xf>
    <xf numFmtId="0" fontId="35" fillId="0" borderId="1" xfId="0" applyFont="1" applyFill="1" applyBorder="1" applyAlignment="1">
      <alignment horizontal="center" vertical="center"/>
    </xf>
    <xf numFmtId="0" fontId="35" fillId="0" borderId="4" xfId="0" applyFont="1" applyFill="1" applyBorder="1" applyAlignment="1">
      <alignment horizontal="center" vertical="center"/>
    </xf>
    <xf numFmtId="3" fontId="35" fillId="0" borderId="4" xfId="0" applyNumberFormat="1" applyFont="1" applyFill="1" applyBorder="1" applyAlignment="1">
      <alignment horizontal="right" vertical="center"/>
    </xf>
    <xf numFmtId="0" fontId="31" fillId="0" borderId="3" xfId="0" applyFont="1" applyFill="1" applyBorder="1" applyAlignment="1">
      <alignment horizontal="center" vertical="center"/>
    </xf>
    <xf numFmtId="0" fontId="27" fillId="0" borderId="1" xfId="0" applyFont="1" applyBorder="1" applyAlignment="1">
      <alignment horizontal="center" vertical="center"/>
    </xf>
    <xf numFmtId="0" fontId="27" fillId="0" borderId="4" xfId="0" applyFont="1" applyBorder="1" applyAlignment="1">
      <alignment horizontal="center" vertical="center"/>
    </xf>
    <xf numFmtId="0" fontId="27" fillId="0" borderId="2" xfId="0" applyFont="1" applyBorder="1" applyAlignment="1">
      <alignment horizontal="center" vertical="center"/>
    </xf>
    <xf numFmtId="10" fontId="27" fillId="0" borderId="2" xfId="0" applyNumberFormat="1" applyFont="1" applyBorder="1" applyAlignment="1">
      <alignment horizontal="center" vertical="center"/>
    </xf>
    <xf numFmtId="165" fontId="27" fillId="0" borderId="2" xfId="0" applyNumberFormat="1" applyFont="1" applyBorder="1" applyAlignment="1">
      <alignment horizontal="center" vertical="center"/>
    </xf>
    <xf numFmtId="0" fontId="27" fillId="0" borderId="3" xfId="0" applyFont="1" applyBorder="1" applyAlignment="1">
      <alignment horizontal="center" vertical="center"/>
    </xf>
    <xf numFmtId="3" fontId="27" fillId="0" borderId="2" xfId="70" applyNumberFormat="1" applyFont="1" applyBorder="1" applyAlignment="1">
      <alignment horizontal="right" vertical="center"/>
    </xf>
    <xf numFmtId="171" fontId="27" fillId="0" borderId="2" xfId="0" applyNumberFormat="1" applyFont="1" applyBorder="1" applyAlignment="1">
      <alignment horizontal="center" vertical="center"/>
    </xf>
    <xf numFmtId="10" fontId="27" fillId="0" borderId="2" xfId="70" applyNumberFormat="1" applyFont="1" applyBorder="1" applyAlignment="1">
      <alignment horizontal="center" vertical="center"/>
    </xf>
    <xf numFmtId="10" fontId="27" fillId="0" borderId="2" xfId="0" applyNumberFormat="1" applyFont="1" applyBorder="1" applyAlignment="1">
      <alignment horizontal="center" vertical="center" wrapText="1"/>
    </xf>
    <xf numFmtId="3" fontId="11" fillId="0" borderId="0" xfId="69" applyNumberFormat="1" applyFont="1" applyAlignment="1">
      <alignment horizontal="right" vertical="center" wrapText="1"/>
    </xf>
    <xf numFmtId="3" fontId="37" fillId="0" borderId="0" xfId="0" applyNumberFormat="1" applyFont="1" applyFill="1" applyAlignment="1">
      <alignment horizontal="right" vertical="center" wrapText="1"/>
    </xf>
    <xf numFmtId="3" fontId="11" fillId="0" borderId="0" xfId="0" applyNumberFormat="1" applyFont="1" applyFill="1" applyAlignment="1">
      <alignment horizontal="right" vertical="center" wrapText="1"/>
    </xf>
    <xf numFmtId="4" fontId="11" fillId="0" borderId="0" xfId="0" applyNumberFormat="1" applyFont="1" applyAlignment="1">
      <alignment horizontal="center" vertical="center" wrapText="1"/>
    </xf>
    <xf numFmtId="10" fontId="37" fillId="0" borderId="0" xfId="68" applyNumberFormat="1" applyFont="1" applyAlignment="1">
      <alignment horizontal="center" vertical="center" wrapText="1"/>
    </xf>
    <xf numFmtId="2" fontId="11" fillId="0" borderId="0" xfId="0" applyNumberFormat="1" applyFont="1" applyAlignment="1">
      <alignment horizontal="center" vertical="center" wrapText="1"/>
    </xf>
    <xf numFmtId="10" fontId="11" fillId="0" borderId="0" xfId="0" applyNumberFormat="1" applyFont="1" applyFill="1" applyAlignment="1">
      <alignment horizontal="center" vertical="center" wrapText="1"/>
    </xf>
    <xf numFmtId="0" fontId="13" fillId="0" borderId="2" xfId="0" applyFont="1" applyFill="1" applyBorder="1" applyAlignment="1">
      <alignment horizontal="center" vertical="center" wrapText="1"/>
    </xf>
    <xf numFmtId="0" fontId="13" fillId="0" borderId="0" xfId="0" applyFont="1" applyAlignment="1">
      <alignment horizontal="center" vertical="center" wrapText="1"/>
    </xf>
    <xf numFmtId="0" fontId="13" fillId="0" borderId="0" xfId="74" applyFont="1" applyFill="1" applyBorder="1" applyAlignment="1">
      <alignment horizontal="center" vertical="center"/>
    </xf>
    <xf numFmtId="0" fontId="9" fillId="0" borderId="2" xfId="0" applyFont="1" applyBorder="1" applyAlignment="1">
      <alignment horizontal="center" vertical="center"/>
    </xf>
    <xf numFmtId="0" fontId="9" fillId="0" borderId="0" xfId="0" applyFont="1" applyAlignment="1">
      <alignment horizontal="center"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wrapText="1"/>
    </xf>
    <xf numFmtId="0" fontId="9" fillId="0" borderId="0" xfId="74" applyFont="1" applyFill="1" applyBorder="1" applyAlignment="1">
      <alignment horizontal="center" vertical="center"/>
    </xf>
    <xf numFmtId="0" fontId="3" fillId="0" borderId="2" xfId="0" applyFont="1" applyBorder="1" applyAlignment="1">
      <alignment vertical="center"/>
    </xf>
    <xf numFmtId="0" fontId="9" fillId="0" borderId="2" xfId="0" applyFont="1" applyFill="1" applyBorder="1" applyAlignment="1">
      <alignment vertical="center" wrapText="1"/>
    </xf>
    <xf numFmtId="0" fontId="3" fillId="0" borderId="2" xfId="0" applyFont="1" applyFill="1" applyBorder="1" applyAlignment="1">
      <alignment vertical="center"/>
    </xf>
    <xf numFmtId="0" fontId="1" fillId="0" borderId="2" xfId="0" applyFont="1" applyFill="1" applyBorder="1" applyAlignment="1">
      <alignment vertical="center"/>
    </xf>
    <xf numFmtId="0" fontId="11" fillId="0" borderId="0" xfId="0" applyFont="1" applyAlignment="1">
      <alignment vertical="center" wrapText="1"/>
    </xf>
    <xf numFmtId="0" fontId="22" fillId="34" borderId="0" xfId="74" applyFont="1" applyFill="1" applyBorder="1" applyAlignment="1">
      <alignment vertical="center"/>
    </xf>
    <xf numFmtId="0" fontId="35" fillId="0" borderId="2" xfId="0" applyFont="1" applyFill="1" applyBorder="1" applyAlignment="1">
      <alignment vertical="center" wrapText="1"/>
    </xf>
    <xf numFmtId="0" fontId="35" fillId="0" borderId="9" xfId="0" applyFont="1" applyFill="1" applyBorder="1" applyAlignment="1">
      <alignment vertical="center" wrapText="1"/>
    </xf>
    <xf numFmtId="0" fontId="35" fillId="0" borderId="14" xfId="0" applyFont="1" applyFill="1" applyBorder="1" applyAlignment="1">
      <alignment vertical="center" wrapText="1"/>
    </xf>
    <xf numFmtId="0" fontId="35" fillId="0" borderId="15" xfId="0" applyFont="1" applyFill="1" applyBorder="1" applyAlignment="1">
      <alignment vertical="center" wrapText="1"/>
    </xf>
    <xf numFmtId="0" fontId="31" fillId="0" borderId="9" xfId="0" applyFont="1" applyFill="1" applyBorder="1" applyAlignment="1">
      <alignment vertical="center" wrapText="1"/>
    </xf>
    <xf numFmtId="0" fontId="31" fillId="0" borderId="14" xfId="0" applyFont="1" applyFill="1" applyBorder="1" applyAlignment="1">
      <alignment vertical="center" wrapText="1"/>
    </xf>
    <xf numFmtId="0" fontId="31" fillId="0" borderId="15" xfId="0" applyFont="1" applyFill="1" applyBorder="1" applyAlignment="1">
      <alignment vertical="center" wrapText="1"/>
    </xf>
    <xf numFmtId="0" fontId="27" fillId="0" borderId="1" xfId="0" applyFont="1" applyBorder="1" applyAlignment="1">
      <alignment vertical="center"/>
    </xf>
    <xf numFmtId="0" fontId="27" fillId="0" borderId="4" xfId="0" applyFont="1" applyBorder="1" applyAlignment="1">
      <alignment vertical="center"/>
    </xf>
    <xf numFmtId="0" fontId="27" fillId="0" borderId="2" xfId="0" applyFont="1" applyBorder="1" applyAlignment="1">
      <alignment vertical="center"/>
    </xf>
    <xf numFmtId="0" fontId="27" fillId="0" borderId="3" xfId="0" applyFont="1" applyBorder="1" applyAlignment="1">
      <alignment vertical="center"/>
    </xf>
    <xf numFmtId="0" fontId="4" fillId="15" borderId="2" xfId="0" applyFont="1" applyFill="1" applyBorder="1" applyAlignment="1">
      <alignment horizontal="center" vertical="center"/>
    </xf>
    <xf numFmtId="0" fontId="9" fillId="0" borderId="0" xfId="0" applyFont="1" applyAlignment="1">
      <alignment horizontal="center" vertical="center"/>
    </xf>
    <xf numFmtId="10" fontId="9" fillId="0" borderId="0" xfId="68" applyNumberFormat="1" applyFont="1" applyAlignment="1">
      <alignment horizontal="center" vertical="center"/>
    </xf>
    <xf numFmtId="10" fontId="9" fillId="0" borderId="0" xfId="0" applyNumberFormat="1" applyFont="1" applyAlignment="1">
      <alignment horizontal="center" vertical="center"/>
    </xf>
    <xf numFmtId="0" fontId="9" fillId="16" borderId="0" xfId="0" applyFont="1" applyFill="1" applyAlignment="1">
      <alignment horizontal="center" vertical="center"/>
    </xf>
    <xf numFmtId="10" fontId="9" fillId="16" borderId="0" xfId="0" applyNumberFormat="1" applyFont="1" applyFill="1" applyAlignment="1">
      <alignment horizontal="center" vertical="center"/>
    </xf>
    <xf numFmtId="0" fontId="27" fillId="0" borderId="0" xfId="0" applyFont="1" applyAlignment="1">
      <alignment horizontal="center" vertical="center"/>
    </xf>
    <xf numFmtId="10" fontId="27" fillId="0" borderId="0" xfId="0" applyNumberFormat="1" applyFont="1" applyAlignment="1">
      <alignment horizontal="center" vertical="center"/>
    </xf>
    <xf numFmtId="0" fontId="9" fillId="0" borderId="0" xfId="0" applyFont="1" applyFill="1" applyAlignment="1">
      <alignment horizontal="center" vertical="center"/>
    </xf>
    <xf numFmtId="10" fontId="9" fillId="0" borderId="0" xfId="0" applyNumberFormat="1" applyFont="1" applyFill="1" applyAlignment="1">
      <alignment horizontal="center" vertical="center"/>
    </xf>
    <xf numFmtId="3" fontId="9" fillId="0" borderId="0" xfId="0" applyNumberFormat="1" applyFont="1" applyFill="1" applyAlignment="1">
      <alignment horizontal="center" vertical="center"/>
    </xf>
    <xf numFmtId="3" fontId="9" fillId="0" borderId="0" xfId="71" applyNumberFormat="1" applyFont="1" applyFill="1" applyAlignment="1">
      <alignment horizontal="center" vertical="center"/>
    </xf>
    <xf numFmtId="10" fontId="9" fillId="0" borderId="0" xfId="71" applyNumberFormat="1" applyFont="1" applyFill="1" applyAlignment="1">
      <alignment horizontal="center" vertical="center"/>
    </xf>
    <xf numFmtId="10" fontId="3" fillId="17" borderId="0" xfId="0" applyNumberFormat="1" applyFont="1" applyFill="1" applyAlignment="1">
      <alignment horizontal="center" vertical="center"/>
    </xf>
    <xf numFmtId="10" fontId="9" fillId="17" borderId="0" xfId="0" applyNumberFormat="1" applyFont="1" applyFill="1" applyAlignment="1">
      <alignment horizontal="center" vertical="center"/>
    </xf>
    <xf numFmtId="165" fontId="11" fillId="0" borderId="0" xfId="0" applyNumberFormat="1" applyFont="1" applyFill="1" applyAlignment="1">
      <alignment horizontal="center" vertical="center"/>
    </xf>
    <xf numFmtId="10" fontId="9" fillId="18" borderId="0" xfId="0" applyNumberFormat="1" applyFont="1" applyFill="1" applyAlignment="1">
      <alignment horizontal="center" vertical="center"/>
    </xf>
    <xf numFmtId="41" fontId="9" fillId="0" borderId="0" xfId="0" applyNumberFormat="1" applyFont="1" applyAlignment="1">
      <alignment horizontal="center" vertical="center"/>
    </xf>
    <xf numFmtId="41" fontId="9" fillId="20" borderId="0" xfId="0" applyNumberFormat="1" applyFont="1" applyFill="1" applyAlignment="1">
      <alignment horizontal="center" vertical="center"/>
    </xf>
    <xf numFmtId="10" fontId="9" fillId="20" borderId="0" xfId="0" applyNumberFormat="1" applyFont="1" applyFill="1" applyAlignment="1">
      <alignment horizontal="center" vertical="center"/>
    </xf>
    <xf numFmtId="41" fontId="9" fillId="21" borderId="0" xfId="0" applyNumberFormat="1" applyFont="1" applyFill="1" applyAlignment="1">
      <alignment horizontal="center" vertical="center"/>
    </xf>
    <xf numFmtId="10" fontId="9" fillId="21" borderId="0" xfId="0" applyNumberFormat="1" applyFont="1" applyFill="1" applyAlignment="1">
      <alignment horizontal="center" vertical="center"/>
    </xf>
    <xf numFmtId="41" fontId="9" fillId="22" borderId="0" xfId="0" applyNumberFormat="1" applyFont="1" applyFill="1" applyAlignment="1">
      <alignment horizontal="center" vertical="center"/>
    </xf>
    <xf numFmtId="10" fontId="9" fillId="22" borderId="0" xfId="0" applyNumberFormat="1" applyFont="1" applyFill="1" applyAlignment="1">
      <alignment horizontal="center" vertical="center"/>
    </xf>
    <xf numFmtId="41" fontId="9" fillId="17" borderId="0" xfId="0" applyNumberFormat="1" applyFont="1" applyFill="1" applyAlignment="1">
      <alignment horizontal="center" vertical="center"/>
    </xf>
    <xf numFmtId="41" fontId="9" fillId="23" borderId="0" xfId="0" applyNumberFormat="1" applyFont="1" applyFill="1" applyAlignment="1">
      <alignment horizontal="center" vertical="center"/>
    </xf>
    <xf numFmtId="10" fontId="9" fillId="23" borderId="0" xfId="0" applyNumberFormat="1" applyFont="1" applyFill="1" applyAlignment="1">
      <alignment horizontal="center" vertical="center"/>
    </xf>
    <xf numFmtId="41" fontId="9" fillId="24" borderId="0" xfId="0" applyNumberFormat="1" applyFont="1" applyFill="1" applyAlignment="1">
      <alignment horizontal="center" vertical="center"/>
    </xf>
    <xf numFmtId="10" fontId="9" fillId="24" borderId="0" xfId="0" applyNumberFormat="1" applyFont="1" applyFill="1" applyAlignment="1">
      <alignment horizontal="center" vertical="center"/>
    </xf>
    <xf numFmtId="41" fontId="9" fillId="25" borderId="0" xfId="0" applyNumberFormat="1" applyFont="1" applyFill="1" applyAlignment="1">
      <alignment horizontal="center" vertical="center"/>
    </xf>
    <xf numFmtId="10" fontId="9" fillId="25" borderId="0" xfId="0" applyNumberFormat="1" applyFont="1" applyFill="1" applyAlignment="1">
      <alignment horizontal="center" vertical="center"/>
    </xf>
    <xf numFmtId="41" fontId="9" fillId="26" borderId="0" xfId="0" applyNumberFormat="1" applyFont="1" applyFill="1" applyAlignment="1">
      <alignment horizontal="center" vertical="center"/>
    </xf>
    <xf numFmtId="10" fontId="9" fillId="26" borderId="0" xfId="0" applyNumberFormat="1" applyFont="1" applyFill="1" applyAlignment="1">
      <alignment horizontal="center" vertical="center"/>
    </xf>
    <xf numFmtId="41" fontId="9" fillId="28" borderId="0" xfId="0" applyNumberFormat="1" applyFont="1" applyFill="1" applyAlignment="1">
      <alignment horizontal="center" vertical="center"/>
    </xf>
    <xf numFmtId="10" fontId="9" fillId="28" borderId="0" xfId="0" applyNumberFormat="1" applyFont="1" applyFill="1" applyAlignment="1">
      <alignment horizontal="center" vertical="center"/>
    </xf>
    <xf numFmtId="10" fontId="9" fillId="29" borderId="0" xfId="0" applyNumberFormat="1" applyFont="1" applyFill="1" applyAlignment="1">
      <alignment horizontal="center" vertical="center"/>
    </xf>
    <xf numFmtId="10" fontId="9" fillId="31" borderId="0" xfId="0" applyNumberFormat="1" applyFont="1" applyFill="1" applyAlignment="1">
      <alignment horizontal="center" vertical="center"/>
    </xf>
    <xf numFmtId="10" fontId="9" fillId="32" borderId="0" xfId="0" applyNumberFormat="1" applyFont="1" applyFill="1" applyAlignment="1">
      <alignment horizontal="center" vertical="center"/>
    </xf>
    <xf numFmtId="41" fontId="9" fillId="33" borderId="0" xfId="0" applyNumberFormat="1" applyFont="1" applyFill="1" applyAlignment="1">
      <alignment horizontal="center" vertical="center"/>
    </xf>
    <xf numFmtId="10" fontId="9" fillId="33" borderId="0" xfId="0" applyNumberFormat="1" applyFont="1" applyFill="1" applyAlignment="1">
      <alignment horizontal="center" vertical="center"/>
    </xf>
    <xf numFmtId="167" fontId="27" fillId="0" borderId="0" xfId="0" applyNumberFormat="1" applyFont="1" applyFill="1" applyAlignment="1">
      <alignment horizontal="center" vertical="center"/>
    </xf>
    <xf numFmtId="10" fontId="9" fillId="0" borderId="0" xfId="68" applyNumberFormat="1" applyFont="1" applyFill="1" applyAlignment="1">
      <alignment horizontal="center" vertical="center"/>
    </xf>
    <xf numFmtId="167" fontId="9" fillId="0" borderId="0" xfId="69" applyNumberFormat="1" applyFont="1" applyAlignment="1">
      <alignment horizontal="center" vertical="center"/>
    </xf>
    <xf numFmtId="10" fontId="3" fillId="0" borderId="0" xfId="0" applyNumberFormat="1" applyFont="1" applyFill="1" applyAlignment="1">
      <alignment horizontal="center" vertical="center"/>
    </xf>
    <xf numFmtId="0" fontId="3" fillId="0" borderId="0" xfId="0" applyFont="1" applyFill="1" applyAlignment="1">
      <alignment horizontal="center" vertical="center"/>
    </xf>
    <xf numFmtId="10" fontId="25" fillId="0" borderId="0" xfId="68" applyNumberFormat="1" applyFont="1" applyAlignment="1">
      <alignment horizontal="center" vertical="center"/>
    </xf>
    <xf numFmtId="10" fontId="25" fillId="0" borderId="0" xfId="68" applyNumberFormat="1" applyFont="1" applyFill="1" applyAlignment="1">
      <alignment horizontal="center" vertical="center"/>
    </xf>
    <xf numFmtId="3" fontId="25" fillId="0" borderId="0" xfId="0" applyNumberFormat="1" applyFont="1" applyFill="1" applyAlignment="1">
      <alignment horizontal="center" vertical="center"/>
    </xf>
    <xf numFmtId="3" fontId="27" fillId="0" borderId="0" xfId="0" applyNumberFormat="1" applyFont="1" applyFill="1" applyAlignment="1">
      <alignment horizontal="center" vertical="center"/>
    </xf>
    <xf numFmtId="10" fontId="11" fillId="0" borderId="0" xfId="0" applyNumberFormat="1" applyFont="1" applyAlignment="1">
      <alignment horizontal="center" vertical="center"/>
    </xf>
    <xf numFmtId="10" fontId="11" fillId="0" borderId="2" xfId="0" applyNumberFormat="1" applyFont="1" applyBorder="1" applyAlignment="1">
      <alignment horizontal="center" vertical="center"/>
    </xf>
    <xf numFmtId="10" fontId="11" fillId="0" borderId="1" xfId="0" applyNumberFormat="1" applyFont="1" applyBorder="1" applyAlignment="1">
      <alignment horizontal="center" vertical="center"/>
    </xf>
    <xf numFmtId="10" fontId="11" fillId="0" borderId="3" xfId="0" applyNumberFormat="1" applyFont="1" applyBorder="1" applyAlignment="1">
      <alignment horizontal="center" vertical="center"/>
    </xf>
    <xf numFmtId="10" fontId="11" fillId="0" borderId="4" xfId="0" applyNumberFormat="1" applyFont="1" applyBorder="1" applyAlignment="1">
      <alignment horizontal="center" vertical="center"/>
    </xf>
    <xf numFmtId="10" fontId="27" fillId="0" borderId="2" xfId="0" applyNumberFormat="1" applyFont="1" applyFill="1" applyBorder="1" applyAlignment="1">
      <alignment horizontal="center" vertical="center"/>
    </xf>
    <xf numFmtId="10" fontId="27" fillId="0" borderId="2" xfId="70" applyNumberFormat="1" applyFont="1" applyFill="1" applyBorder="1" applyAlignment="1">
      <alignment horizontal="center" vertical="center"/>
    </xf>
    <xf numFmtId="10" fontId="9" fillId="0" borderId="2" xfId="68" applyNumberFormat="1" applyFont="1" applyBorder="1" applyAlignment="1">
      <alignment horizontal="center" vertical="center"/>
    </xf>
    <xf numFmtId="3" fontId="9" fillId="0" borderId="0" xfId="0" applyNumberFormat="1" applyFont="1" applyAlignment="1">
      <alignment horizontal="right" vertical="center"/>
    </xf>
    <xf numFmtId="3" fontId="9" fillId="16" borderId="0" xfId="0" applyNumberFormat="1" applyFont="1" applyFill="1" applyAlignment="1">
      <alignment horizontal="right" vertical="center"/>
    </xf>
    <xf numFmtId="3" fontId="27" fillId="0" borderId="0" xfId="0" applyNumberFormat="1" applyFont="1" applyAlignment="1">
      <alignment horizontal="right" vertical="center"/>
    </xf>
    <xf numFmtId="3" fontId="9" fillId="0" borderId="0" xfId="0" applyNumberFormat="1" applyFont="1" applyFill="1" applyAlignment="1">
      <alignment horizontal="right" vertical="center"/>
    </xf>
    <xf numFmtId="3" fontId="9" fillId="0" borderId="0" xfId="71" applyNumberFormat="1" applyFont="1" applyFill="1" applyAlignment="1">
      <alignment horizontal="right" vertical="center"/>
    </xf>
    <xf numFmtId="3" fontId="3" fillId="17" borderId="0" xfId="0" applyNumberFormat="1" applyFont="1" applyFill="1" applyAlignment="1">
      <alignment horizontal="right" vertical="center"/>
    </xf>
    <xf numFmtId="3" fontId="9" fillId="18" borderId="0" xfId="0" applyNumberFormat="1" applyFont="1" applyFill="1" applyAlignment="1">
      <alignment horizontal="right" vertical="center"/>
    </xf>
    <xf numFmtId="3" fontId="9" fillId="20" borderId="0" xfId="0" applyNumberFormat="1" applyFont="1" applyFill="1" applyAlignment="1">
      <alignment horizontal="right" vertical="center"/>
    </xf>
    <xf numFmtId="3" fontId="9" fillId="21" borderId="0" xfId="0" applyNumberFormat="1" applyFont="1" applyFill="1" applyAlignment="1">
      <alignment horizontal="right" vertical="center"/>
    </xf>
    <xf numFmtId="3" fontId="9" fillId="22" borderId="0" xfId="0" applyNumberFormat="1" applyFont="1" applyFill="1" applyAlignment="1">
      <alignment horizontal="right" vertical="center"/>
    </xf>
    <xf numFmtId="3" fontId="9" fillId="17" borderId="0" xfId="0" applyNumberFormat="1" applyFont="1" applyFill="1" applyAlignment="1">
      <alignment horizontal="right" vertical="center"/>
    </xf>
    <xf numFmtId="3" fontId="9" fillId="23" borderId="0" xfId="0" applyNumberFormat="1" applyFont="1" applyFill="1" applyAlignment="1">
      <alignment horizontal="right" vertical="center"/>
    </xf>
    <xf numFmtId="3" fontId="9" fillId="24" borderId="0" xfId="0" applyNumberFormat="1" applyFont="1" applyFill="1" applyAlignment="1">
      <alignment horizontal="right" vertical="center"/>
    </xf>
    <xf numFmtId="3" fontId="9" fillId="25" borderId="0" xfId="0" applyNumberFormat="1" applyFont="1" applyFill="1" applyAlignment="1">
      <alignment horizontal="right" vertical="center"/>
    </xf>
    <xf numFmtId="3" fontId="9" fillId="26" borderId="0" xfId="0" applyNumberFormat="1" applyFont="1" applyFill="1" applyAlignment="1">
      <alignment horizontal="right" vertical="center"/>
    </xf>
    <xf numFmtId="3" fontId="9" fillId="28" borderId="0" xfId="0" applyNumberFormat="1" applyFont="1" applyFill="1" applyAlignment="1">
      <alignment horizontal="right" vertical="center"/>
    </xf>
    <xf numFmtId="3" fontId="9" fillId="29" borderId="0" xfId="0" applyNumberFormat="1" applyFont="1" applyFill="1" applyAlignment="1">
      <alignment horizontal="right" vertical="center"/>
    </xf>
    <xf numFmtId="3" fontId="9" fillId="31" borderId="0" xfId="0" applyNumberFormat="1" applyFont="1" applyFill="1" applyAlignment="1">
      <alignment horizontal="right" vertical="center"/>
    </xf>
    <xf numFmtId="3" fontId="9" fillId="32" borderId="0" xfId="0" applyNumberFormat="1" applyFont="1" applyFill="1" applyAlignment="1">
      <alignment horizontal="right" vertical="center"/>
    </xf>
    <xf numFmtId="3" fontId="9" fillId="33" borderId="0" xfId="0" applyNumberFormat="1" applyFont="1" applyFill="1" applyAlignment="1">
      <alignment horizontal="right" vertical="center"/>
    </xf>
    <xf numFmtId="3" fontId="27" fillId="0" borderId="0" xfId="0" applyNumberFormat="1" applyFont="1" applyFill="1" applyAlignment="1">
      <alignment horizontal="right" vertical="center"/>
    </xf>
    <xf numFmtId="3" fontId="3" fillId="0" borderId="0" xfId="0" applyNumberFormat="1" applyFont="1" applyFill="1" applyAlignment="1">
      <alignment horizontal="right" vertical="center"/>
    </xf>
    <xf numFmtId="3" fontId="9" fillId="0" borderId="2" xfId="0" applyNumberFormat="1" applyFont="1" applyBorder="1" applyAlignment="1">
      <alignment horizontal="right" vertical="center"/>
    </xf>
    <xf numFmtId="3" fontId="25" fillId="0" borderId="0" xfId="0" applyNumberFormat="1" applyFont="1" applyAlignment="1">
      <alignment horizontal="right" vertical="center"/>
    </xf>
    <xf numFmtId="3" fontId="27" fillId="0" borderId="2" xfId="0" applyNumberFormat="1" applyFont="1" applyBorder="1" applyAlignment="1">
      <alignment horizontal="right" vertical="center"/>
    </xf>
    <xf numFmtId="3" fontId="4" fillId="15" borderId="2" xfId="0" applyNumberFormat="1" applyFont="1" applyFill="1" applyBorder="1" applyAlignment="1">
      <alignment horizontal="center" vertical="center"/>
    </xf>
    <xf numFmtId="0" fontId="9" fillId="0" borderId="7" xfId="0" applyFont="1" applyFill="1" applyBorder="1" applyAlignment="1">
      <alignment horizontal="center" vertical="center" wrapText="1"/>
    </xf>
    <xf numFmtId="0" fontId="26" fillId="0" borderId="2" xfId="0" applyFont="1" applyBorder="1" applyAlignment="1">
      <alignment horizontal="center" vertical="center"/>
    </xf>
    <xf numFmtId="0" fontId="26" fillId="0" borderId="2" xfId="0" applyFont="1" applyFill="1" applyBorder="1" applyAlignment="1">
      <alignment horizontal="center" vertical="center" wrapText="1"/>
    </xf>
    <xf numFmtId="0" fontId="29" fillId="0" borderId="0" xfId="0" applyFont="1" applyAlignment="1">
      <alignment horizontal="center" vertical="center" wrapText="1"/>
    </xf>
    <xf numFmtId="0" fontId="25" fillId="0" borderId="0" xfId="74" applyFont="1" applyFill="1" applyBorder="1" applyAlignment="1">
      <alignment horizontal="center" vertical="center"/>
    </xf>
    <xf numFmtId="10" fontId="9" fillId="0" borderId="2" xfId="68" applyNumberFormat="1" applyFont="1" applyFill="1" applyBorder="1" applyAlignment="1">
      <alignment horizontal="center" vertical="center" wrapText="1"/>
    </xf>
    <xf numFmtId="168" fontId="13" fillId="0" borderId="2" xfId="0" applyNumberFormat="1" applyFont="1" applyBorder="1" applyAlignment="1">
      <alignment horizontal="center" vertical="center" wrapText="1"/>
    </xf>
    <xf numFmtId="10" fontId="13" fillId="0" borderId="2" xfId="0" applyNumberFormat="1" applyFont="1" applyBorder="1" applyAlignment="1">
      <alignment horizontal="center" vertical="center" wrapText="1"/>
    </xf>
    <xf numFmtId="168" fontId="13" fillId="0" borderId="2" xfId="0" applyNumberFormat="1" applyFont="1" applyFill="1" applyBorder="1" applyAlignment="1">
      <alignment horizontal="center" vertical="center" wrapText="1"/>
    </xf>
    <xf numFmtId="168" fontId="14" fillId="0" borderId="2" xfId="0" applyNumberFormat="1" applyFont="1" applyFill="1" applyBorder="1" applyAlignment="1">
      <alignment horizontal="center" vertical="center" wrapText="1"/>
    </xf>
    <xf numFmtId="10" fontId="14" fillId="0" borderId="2" xfId="0" applyNumberFormat="1" applyFont="1" applyBorder="1" applyAlignment="1">
      <alignment horizontal="center" vertical="center" wrapText="1"/>
    </xf>
    <xf numFmtId="0" fontId="14" fillId="0" borderId="2" xfId="0" applyFont="1" applyBorder="1" applyAlignment="1">
      <alignment horizontal="center" vertical="center" wrapText="1"/>
    </xf>
    <xf numFmtId="9" fontId="3" fillId="0" borderId="2" xfId="0" applyNumberFormat="1" applyFont="1" applyBorder="1" applyAlignment="1">
      <alignment horizontal="center" vertical="center" wrapText="1"/>
    </xf>
    <xf numFmtId="10" fontId="18" fillId="0" borderId="2" xfId="0" applyNumberFormat="1" applyFont="1" applyBorder="1" applyAlignment="1">
      <alignment horizontal="center" vertical="center" wrapText="1"/>
    </xf>
    <xf numFmtId="10" fontId="35" fillId="0" borderId="2" xfId="0" applyNumberFormat="1" applyFont="1" applyFill="1" applyBorder="1" applyAlignment="1">
      <alignment horizontal="center" vertical="center" wrapText="1"/>
    </xf>
    <xf numFmtId="10" fontId="35" fillId="0" borderId="1" xfId="0" applyNumberFormat="1" applyFont="1" applyFill="1" applyBorder="1" applyAlignment="1">
      <alignment horizontal="center" vertical="center" wrapText="1"/>
    </xf>
    <xf numFmtId="10" fontId="35" fillId="0" borderId="10" xfId="0" applyNumberFormat="1" applyFont="1" applyFill="1" applyBorder="1" applyAlignment="1">
      <alignment horizontal="center" vertical="center" wrapText="1"/>
    </xf>
    <xf numFmtId="10" fontId="35" fillId="0" borderId="3" xfId="0" applyNumberFormat="1" applyFont="1" applyFill="1" applyBorder="1" applyAlignment="1">
      <alignment horizontal="center" vertical="center" wrapText="1"/>
    </xf>
    <xf numFmtId="10" fontId="35" fillId="0" borderId="13" xfId="0" applyNumberFormat="1" applyFont="1" applyFill="1" applyBorder="1" applyAlignment="1">
      <alignment horizontal="center" vertical="center" wrapText="1"/>
    </xf>
    <xf numFmtId="10" fontId="35" fillId="0" borderId="4" xfId="0" applyNumberFormat="1" applyFont="1" applyFill="1" applyBorder="1" applyAlignment="1">
      <alignment horizontal="center" vertical="center" wrapText="1"/>
    </xf>
    <xf numFmtId="10" fontId="31" fillId="0" borderId="3" xfId="0" applyNumberFormat="1"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9" fillId="0" borderId="0" xfId="0" applyFont="1" applyAlignment="1">
      <alignment vertical="center"/>
    </xf>
    <xf numFmtId="0" fontId="9" fillId="0" borderId="0" xfId="0" applyNumberFormat="1" applyFont="1" applyAlignment="1">
      <alignment horizontal="center" vertical="center"/>
    </xf>
    <xf numFmtId="10" fontId="9" fillId="0" borderId="0" xfId="68" applyNumberFormat="1" applyFont="1" applyAlignment="1">
      <alignment horizontal="center" vertical="center" wrapText="1"/>
    </xf>
    <xf numFmtId="10" fontId="9" fillId="0" borderId="0" xfId="0" applyNumberFormat="1" applyFont="1" applyAlignment="1">
      <alignment horizontal="center" vertical="center" wrapText="1"/>
    </xf>
    <xf numFmtId="165" fontId="9" fillId="0" borderId="0" xfId="0" applyNumberFormat="1" applyFont="1" applyAlignment="1">
      <alignment horizontal="center" vertical="center"/>
    </xf>
    <xf numFmtId="3" fontId="9" fillId="0" borderId="0" xfId="69" applyNumberFormat="1" applyFont="1" applyAlignment="1">
      <alignment horizontal="right" vertical="center"/>
    </xf>
    <xf numFmtId="0" fontId="9" fillId="16" borderId="0" xfId="0" applyFont="1" applyFill="1" applyAlignment="1">
      <alignment vertical="center"/>
    </xf>
    <xf numFmtId="3" fontId="27" fillId="16" borderId="0" xfId="0" applyNumberFormat="1" applyFont="1" applyFill="1" applyAlignment="1">
      <alignment horizontal="right" vertical="center"/>
    </xf>
    <xf numFmtId="10" fontId="9" fillId="16" borderId="0" xfId="0" applyNumberFormat="1" applyFont="1" applyFill="1" applyAlignment="1">
      <alignment horizontal="center" vertical="center" wrapText="1"/>
    </xf>
    <xf numFmtId="165" fontId="9" fillId="16" borderId="0" xfId="0" applyNumberFormat="1" applyFont="1" applyFill="1" applyAlignment="1">
      <alignment horizontal="center" vertical="center"/>
    </xf>
    <xf numFmtId="3" fontId="3" fillId="16" borderId="0" xfId="0" applyNumberFormat="1" applyFont="1" applyFill="1" applyAlignment="1">
      <alignment horizontal="right" vertical="center"/>
    </xf>
    <xf numFmtId="3" fontId="11" fillId="16" borderId="0" xfId="0" applyNumberFormat="1" applyFont="1" applyFill="1" applyAlignment="1">
      <alignment horizontal="right" vertical="center"/>
    </xf>
    <xf numFmtId="0" fontId="9" fillId="16" borderId="0" xfId="0" applyFont="1" applyFill="1" applyAlignment="1">
      <alignment horizontal="center" vertical="center" wrapText="1"/>
    </xf>
    <xf numFmtId="0" fontId="29" fillId="0" borderId="0" xfId="0" applyFont="1" applyAlignment="1">
      <alignment vertical="center"/>
    </xf>
    <xf numFmtId="0" fontId="29" fillId="0" borderId="0" xfId="0" applyFont="1" applyAlignment="1">
      <alignment horizontal="center" vertical="center"/>
    </xf>
    <xf numFmtId="3" fontId="29" fillId="0" borderId="0" xfId="0" applyNumberFormat="1" applyFont="1" applyAlignment="1">
      <alignment horizontal="right" vertical="center"/>
    </xf>
    <xf numFmtId="171" fontId="27" fillId="0" borderId="0" xfId="0" applyNumberFormat="1" applyFont="1" applyAlignment="1">
      <alignment horizontal="center" vertical="center"/>
    </xf>
    <xf numFmtId="10" fontId="27" fillId="0" borderId="0" xfId="0" applyNumberFormat="1" applyFont="1" applyAlignment="1">
      <alignment horizontal="center" vertical="center" wrapText="1"/>
    </xf>
    <xf numFmtId="165" fontId="27" fillId="0" borderId="0" xfId="0" applyNumberFormat="1" applyFont="1" applyAlignment="1">
      <alignment horizontal="center" vertical="center"/>
    </xf>
    <xf numFmtId="0" fontId="26" fillId="0" borderId="0" xfId="0" applyFont="1" applyAlignment="1">
      <alignment vertical="center"/>
    </xf>
    <xf numFmtId="0" fontId="26" fillId="0" borderId="0" xfId="0" applyFont="1" applyAlignment="1">
      <alignment horizontal="center" vertical="center"/>
    </xf>
    <xf numFmtId="3" fontId="11" fillId="0" borderId="0" xfId="69" applyNumberFormat="1" applyFont="1" applyAlignment="1">
      <alignment horizontal="right" vertical="center"/>
    </xf>
    <xf numFmtId="0" fontId="30" fillId="0" borderId="0" xfId="0" applyFont="1" applyFill="1" applyAlignment="1">
      <alignment vertical="center"/>
    </xf>
    <xf numFmtId="0" fontId="30" fillId="0" borderId="0" xfId="0" applyFont="1" applyFill="1" applyAlignment="1">
      <alignment horizontal="center" vertical="center"/>
    </xf>
    <xf numFmtId="10" fontId="9" fillId="0" borderId="0" xfId="0" applyNumberFormat="1" applyFont="1" applyFill="1" applyAlignment="1">
      <alignment horizontal="center" vertical="center" wrapText="1"/>
    </xf>
    <xf numFmtId="0" fontId="26" fillId="0" borderId="0" xfId="0" applyFont="1" applyFill="1" applyAlignment="1">
      <alignment horizontal="center" vertical="center"/>
    </xf>
    <xf numFmtId="3" fontId="10" fillId="0" borderId="0" xfId="69" applyNumberFormat="1" applyFont="1" applyFill="1" applyAlignment="1" applyProtection="1">
      <alignment horizontal="right" vertical="center"/>
      <protection locked="0"/>
    </xf>
    <xf numFmtId="0" fontId="18" fillId="0" borderId="2" xfId="0" applyFont="1" applyFill="1" applyBorder="1" applyAlignment="1">
      <alignment vertical="center"/>
    </xf>
    <xf numFmtId="0" fontId="11" fillId="0" borderId="2" xfId="0" applyFont="1" applyFill="1" applyBorder="1" applyAlignment="1">
      <alignment horizontal="center" vertical="center"/>
    </xf>
    <xf numFmtId="0" fontId="9" fillId="0" borderId="2" xfId="0" applyFont="1" applyFill="1" applyBorder="1" applyAlignment="1">
      <alignment horizontal="center" vertical="center"/>
    </xf>
    <xf numFmtId="170" fontId="9" fillId="0" borderId="0" xfId="0" applyNumberFormat="1" applyFont="1" applyFill="1" applyAlignment="1">
      <alignment horizontal="center" vertical="center"/>
    </xf>
    <xf numFmtId="0" fontId="26" fillId="0" borderId="2" xfId="0" applyFont="1" applyFill="1" applyBorder="1" applyAlignment="1">
      <alignment horizontal="center" vertical="center"/>
    </xf>
    <xf numFmtId="0" fontId="29" fillId="0" borderId="2" xfId="0" applyFont="1" applyFill="1" applyBorder="1" applyAlignment="1">
      <alignment horizontal="center" vertical="center"/>
    </xf>
    <xf numFmtId="0" fontId="1" fillId="17" borderId="2" xfId="0" applyFont="1" applyFill="1" applyBorder="1" applyAlignment="1">
      <alignment vertical="center"/>
    </xf>
    <xf numFmtId="0" fontId="31" fillId="17" borderId="2" xfId="0" applyFont="1" applyFill="1" applyBorder="1" applyAlignment="1">
      <alignment horizontal="center" vertical="center"/>
    </xf>
    <xf numFmtId="0" fontId="11" fillId="17" borderId="2" xfId="0" applyFont="1" applyFill="1" applyBorder="1" applyAlignment="1">
      <alignment horizontal="center" vertical="center"/>
    </xf>
    <xf numFmtId="0" fontId="3" fillId="17" borderId="2" xfId="0" applyFont="1" applyFill="1" applyBorder="1" applyAlignment="1">
      <alignment horizontal="center" vertical="center"/>
    </xf>
    <xf numFmtId="0" fontId="3" fillId="17" borderId="0" xfId="0" applyFont="1" applyFill="1" applyAlignment="1">
      <alignment horizontal="center" vertical="center"/>
    </xf>
    <xf numFmtId="10" fontId="3" fillId="17" borderId="0" xfId="0" applyNumberFormat="1" applyFont="1" applyFill="1" applyAlignment="1">
      <alignment horizontal="center" vertical="center" wrapText="1"/>
    </xf>
    <xf numFmtId="3" fontId="11" fillId="17" borderId="0" xfId="0" applyNumberFormat="1" applyFont="1" applyFill="1" applyAlignment="1">
      <alignment horizontal="right" vertical="center"/>
    </xf>
    <xf numFmtId="3" fontId="11" fillId="0" borderId="0" xfId="0" applyNumberFormat="1" applyFont="1" applyFill="1" applyAlignment="1">
      <alignment horizontal="right" vertical="center"/>
    </xf>
    <xf numFmtId="171" fontId="11" fillId="0" borderId="0" xfId="0" applyNumberFormat="1" applyFont="1" applyFill="1" applyAlignment="1">
      <alignment horizontal="center" vertical="center"/>
    </xf>
    <xf numFmtId="0" fontId="13" fillId="0" borderId="0" xfId="0" applyFont="1" applyAlignment="1">
      <alignment horizontal="center" vertical="center"/>
    </xf>
    <xf numFmtId="10" fontId="11" fillId="0" borderId="0" xfId="0" applyNumberFormat="1" applyFont="1" applyFill="1" applyAlignment="1">
      <alignment horizontal="center" vertical="center"/>
    </xf>
    <xf numFmtId="0" fontId="9" fillId="18" borderId="0" xfId="0" applyFont="1" applyFill="1" applyAlignment="1">
      <alignment vertical="center"/>
    </xf>
    <xf numFmtId="0" fontId="9" fillId="18" borderId="0" xfId="0" applyFont="1" applyFill="1" applyAlignment="1">
      <alignment horizontal="center" vertical="center"/>
    </xf>
    <xf numFmtId="10" fontId="9" fillId="18" borderId="0" xfId="0" applyNumberFormat="1" applyFont="1" applyFill="1" applyAlignment="1">
      <alignment horizontal="center" vertical="center" wrapText="1"/>
    </xf>
    <xf numFmtId="0" fontId="9" fillId="18" borderId="0" xfId="0" applyFont="1" applyFill="1" applyAlignment="1">
      <alignment horizontal="center" vertical="center" wrapText="1"/>
    </xf>
    <xf numFmtId="165" fontId="9" fillId="18" borderId="0" xfId="0" applyNumberFormat="1" applyFont="1" applyFill="1" applyAlignment="1">
      <alignment horizontal="center" vertical="center"/>
    </xf>
    <xf numFmtId="10" fontId="9" fillId="0" borderId="0" xfId="0" applyNumberFormat="1" applyFont="1" applyAlignment="1">
      <alignment vertical="center"/>
    </xf>
    <xf numFmtId="10" fontId="9" fillId="19" borderId="0" xfId="0" applyNumberFormat="1" applyFont="1" applyFill="1" applyAlignment="1">
      <alignment vertical="center"/>
    </xf>
    <xf numFmtId="0" fontId="9" fillId="20" borderId="0" xfId="0" applyFont="1" applyFill="1" applyAlignment="1">
      <alignment vertical="center"/>
    </xf>
    <xf numFmtId="0" fontId="9" fillId="20" borderId="0" xfId="0" applyFont="1" applyFill="1" applyAlignment="1">
      <alignment horizontal="center" vertical="center"/>
    </xf>
    <xf numFmtId="10" fontId="9" fillId="20" borderId="0" xfId="0" applyNumberFormat="1" applyFont="1" applyFill="1" applyAlignment="1">
      <alignment horizontal="center" vertical="center" wrapText="1"/>
    </xf>
    <xf numFmtId="0" fontId="9" fillId="20" borderId="0" xfId="0" applyFont="1" applyFill="1" applyAlignment="1">
      <alignment horizontal="center" vertical="center" wrapText="1"/>
    </xf>
    <xf numFmtId="165" fontId="9" fillId="20" borderId="0" xfId="0" applyNumberFormat="1" applyFont="1" applyFill="1" applyAlignment="1">
      <alignment horizontal="center" vertical="center"/>
    </xf>
    <xf numFmtId="0" fontId="9" fillId="21" borderId="0" xfId="0" applyFont="1" applyFill="1" applyAlignment="1">
      <alignment vertical="center"/>
    </xf>
    <xf numFmtId="0" fontId="9" fillId="21" borderId="0" xfId="0" applyFont="1" applyFill="1" applyAlignment="1">
      <alignment horizontal="center" vertical="center"/>
    </xf>
    <xf numFmtId="10" fontId="9" fillId="21" borderId="0" xfId="0" applyNumberFormat="1" applyFont="1" applyFill="1" applyAlignment="1">
      <alignment horizontal="center" vertical="center" wrapText="1"/>
    </xf>
    <xf numFmtId="0" fontId="9" fillId="21" borderId="0" xfId="0" applyFont="1" applyFill="1" applyAlignment="1">
      <alignment horizontal="center" vertical="center" wrapText="1"/>
    </xf>
    <xf numFmtId="165" fontId="9" fillId="21" borderId="0" xfId="0" applyNumberFormat="1" applyFont="1" applyFill="1" applyAlignment="1">
      <alignment horizontal="center" vertical="center"/>
    </xf>
    <xf numFmtId="0" fontId="26" fillId="21" borderId="0" xfId="0" applyFont="1" applyFill="1" applyAlignment="1">
      <alignment horizontal="center" vertical="center"/>
    </xf>
    <xf numFmtId="0" fontId="9" fillId="22" borderId="0" xfId="0" applyFont="1" applyFill="1" applyAlignment="1">
      <alignment vertical="center"/>
    </xf>
    <xf numFmtId="0" fontId="9" fillId="22" borderId="0" xfId="0" applyFont="1" applyFill="1" applyAlignment="1">
      <alignment horizontal="center" vertical="center"/>
    </xf>
    <xf numFmtId="10" fontId="9" fillId="22" borderId="0" xfId="0" applyNumberFormat="1" applyFont="1" applyFill="1" applyAlignment="1">
      <alignment horizontal="center" vertical="center" wrapText="1"/>
    </xf>
    <xf numFmtId="0" fontId="9" fillId="22" borderId="0" xfId="0" applyFont="1" applyFill="1" applyAlignment="1">
      <alignment horizontal="center" vertical="center" wrapText="1"/>
    </xf>
    <xf numFmtId="165" fontId="9" fillId="22" borderId="0" xfId="0" applyNumberFormat="1" applyFont="1" applyFill="1" applyAlignment="1">
      <alignment horizontal="center" vertical="center"/>
    </xf>
    <xf numFmtId="0" fontId="9" fillId="17" borderId="0" xfId="0" applyFont="1" applyFill="1" applyAlignment="1">
      <alignment vertical="center"/>
    </xf>
    <xf numFmtId="0" fontId="9" fillId="17" borderId="0" xfId="0" applyFont="1" applyFill="1" applyAlignment="1">
      <alignment horizontal="center" vertical="center"/>
    </xf>
    <xf numFmtId="10" fontId="9" fillId="17" borderId="0" xfId="0" applyNumberFormat="1" applyFont="1" applyFill="1" applyAlignment="1">
      <alignment horizontal="center" vertical="center" wrapText="1"/>
    </xf>
    <xf numFmtId="0" fontId="9" fillId="17" borderId="0" xfId="0" applyFont="1" applyFill="1" applyAlignment="1">
      <alignment horizontal="center" vertical="center" wrapText="1"/>
    </xf>
    <xf numFmtId="165" fontId="9" fillId="17" borderId="0" xfId="0" applyNumberFormat="1" applyFont="1" applyFill="1" applyAlignment="1">
      <alignment horizontal="center" vertical="center"/>
    </xf>
    <xf numFmtId="0" fontId="9" fillId="0" borderId="0" xfId="0" applyFont="1" applyFill="1" applyAlignment="1">
      <alignment vertical="center"/>
    </xf>
    <xf numFmtId="0" fontId="9" fillId="23" borderId="0" xfId="0" applyFont="1" applyFill="1" applyAlignment="1">
      <alignment vertical="center"/>
    </xf>
    <xf numFmtId="0" fontId="9" fillId="23" borderId="0" xfId="0" applyFont="1" applyFill="1" applyAlignment="1">
      <alignment horizontal="center" vertical="center"/>
    </xf>
    <xf numFmtId="10" fontId="9" fillId="23" borderId="0" xfId="0" applyNumberFormat="1" applyFont="1" applyFill="1" applyAlignment="1">
      <alignment horizontal="center" vertical="center" wrapText="1"/>
    </xf>
    <xf numFmtId="0" fontId="9" fillId="23" borderId="0" xfId="0" applyFont="1" applyFill="1" applyAlignment="1">
      <alignment horizontal="center" vertical="center" wrapText="1"/>
    </xf>
    <xf numFmtId="165" fontId="9" fillId="23" borderId="0" xfId="0" applyNumberFormat="1" applyFont="1" applyFill="1" applyAlignment="1">
      <alignment horizontal="center" vertical="center"/>
    </xf>
    <xf numFmtId="0" fontId="26" fillId="23" borderId="0" xfId="0" applyFont="1" applyFill="1" applyAlignment="1">
      <alignment horizontal="center" vertical="center"/>
    </xf>
    <xf numFmtId="0" fontId="9" fillId="24" borderId="0" xfId="0" applyFont="1" applyFill="1" applyAlignment="1">
      <alignment vertical="center"/>
    </xf>
    <xf numFmtId="0" fontId="9" fillId="24" borderId="0" xfId="0" applyFont="1" applyFill="1" applyAlignment="1">
      <alignment horizontal="center" vertical="center"/>
    </xf>
    <xf numFmtId="10" fontId="9" fillId="24" borderId="0" xfId="0" applyNumberFormat="1" applyFont="1" applyFill="1" applyAlignment="1">
      <alignment horizontal="center" vertical="center" wrapText="1"/>
    </xf>
    <xf numFmtId="0" fontId="9" fillId="24" borderId="0" xfId="0" applyFont="1" applyFill="1" applyAlignment="1">
      <alignment horizontal="center" vertical="center" wrapText="1"/>
    </xf>
    <xf numFmtId="165" fontId="9" fillId="24" borderId="0" xfId="0" applyNumberFormat="1" applyFont="1" applyFill="1" applyAlignment="1">
      <alignment horizontal="center" vertical="center"/>
    </xf>
    <xf numFmtId="0" fontId="26" fillId="24" borderId="0" xfId="0" applyFont="1" applyFill="1" applyAlignment="1">
      <alignment horizontal="center" vertical="center"/>
    </xf>
    <xf numFmtId="10" fontId="9" fillId="0" borderId="0" xfId="0" applyNumberFormat="1" applyFont="1" applyFill="1" applyAlignment="1">
      <alignment vertical="center"/>
    </xf>
    <xf numFmtId="0" fontId="9" fillId="25" borderId="0" xfId="0" applyFont="1" applyFill="1" applyAlignment="1">
      <alignment vertical="center"/>
    </xf>
    <xf numFmtId="0" fontId="9" fillId="25" borderId="0" xfId="0" applyFont="1" applyFill="1" applyAlignment="1">
      <alignment horizontal="center" vertical="center"/>
    </xf>
    <xf numFmtId="10" fontId="9" fillId="25" borderId="0" xfId="0" applyNumberFormat="1" applyFont="1" applyFill="1" applyAlignment="1">
      <alignment horizontal="center" vertical="center" wrapText="1"/>
    </xf>
    <xf numFmtId="0" fontId="9" fillId="25" borderId="0" xfId="0" applyFont="1" applyFill="1" applyAlignment="1">
      <alignment horizontal="center" vertical="center" wrapText="1"/>
    </xf>
    <xf numFmtId="165" fontId="9" fillId="25" borderId="0" xfId="0" applyNumberFormat="1" applyFont="1" applyFill="1" applyAlignment="1">
      <alignment horizontal="center" vertical="center"/>
    </xf>
    <xf numFmtId="0" fontId="26" fillId="0" borderId="0" xfId="0" applyFont="1" applyFill="1" applyAlignment="1">
      <alignment vertical="center"/>
    </xf>
    <xf numFmtId="0" fontId="9" fillId="26" borderId="0" xfId="0" applyFont="1" applyFill="1" applyAlignment="1">
      <alignment vertical="center"/>
    </xf>
    <xf numFmtId="0" fontId="9" fillId="26" borderId="0" xfId="0" applyFont="1" applyFill="1" applyAlignment="1">
      <alignment horizontal="center" vertical="center"/>
    </xf>
    <xf numFmtId="10" fontId="9" fillId="26" borderId="0" xfId="0" applyNumberFormat="1" applyFont="1" applyFill="1" applyAlignment="1">
      <alignment horizontal="center" vertical="center" wrapText="1"/>
    </xf>
    <xf numFmtId="0" fontId="9" fillId="26" borderId="0" xfId="0" applyFont="1" applyFill="1" applyAlignment="1">
      <alignment horizontal="center" vertical="center" wrapText="1"/>
    </xf>
    <xf numFmtId="165" fontId="9" fillId="26" borderId="0" xfId="0" applyNumberFormat="1" applyFont="1" applyFill="1" applyAlignment="1">
      <alignment horizontal="center" vertical="center"/>
    </xf>
    <xf numFmtId="0" fontId="9" fillId="27" borderId="0" xfId="0" applyFont="1" applyFill="1" applyAlignment="1">
      <alignment vertical="center"/>
    </xf>
    <xf numFmtId="0" fontId="9" fillId="27" borderId="0" xfId="0" applyFont="1" applyFill="1" applyAlignment="1">
      <alignment horizontal="center" vertical="center"/>
    </xf>
    <xf numFmtId="0" fontId="9" fillId="28" borderId="0" xfId="0" applyFont="1" applyFill="1" applyAlignment="1">
      <alignment horizontal="center" vertical="center"/>
    </xf>
    <xf numFmtId="10" fontId="9" fillId="28" borderId="0" xfId="0" applyNumberFormat="1" applyFont="1" applyFill="1" applyAlignment="1">
      <alignment horizontal="center" vertical="center" wrapText="1"/>
    </xf>
    <xf numFmtId="0" fontId="9" fillId="28" borderId="0" xfId="0" applyFont="1" applyFill="1" applyAlignment="1">
      <alignment horizontal="center" vertical="center" wrapText="1"/>
    </xf>
    <xf numFmtId="165" fontId="9" fillId="28" borderId="0" xfId="0" applyNumberFormat="1" applyFont="1" applyFill="1" applyAlignment="1">
      <alignment horizontal="center" vertical="center"/>
    </xf>
    <xf numFmtId="0" fontId="9" fillId="29" borderId="0" xfId="0" applyFont="1" applyFill="1" applyAlignment="1">
      <alignment vertical="center"/>
    </xf>
    <xf numFmtId="0" fontId="9" fillId="29" borderId="0" xfId="0" applyFont="1" applyFill="1" applyAlignment="1">
      <alignment horizontal="center" vertical="center"/>
    </xf>
    <xf numFmtId="10" fontId="9" fillId="29" borderId="0" xfId="0" applyNumberFormat="1" applyFont="1" applyFill="1" applyAlignment="1">
      <alignment horizontal="center" vertical="center" wrapText="1"/>
    </xf>
    <xf numFmtId="0" fontId="9" fillId="29" borderId="0" xfId="0" applyFont="1" applyFill="1" applyAlignment="1">
      <alignment horizontal="center" vertical="center" wrapText="1"/>
    </xf>
    <xf numFmtId="165" fontId="9" fillId="29" borderId="0" xfId="0" applyNumberFormat="1" applyFont="1" applyFill="1" applyAlignment="1">
      <alignment horizontal="center" vertical="center"/>
    </xf>
    <xf numFmtId="0" fontId="9" fillId="30" borderId="0" xfId="0" applyFont="1" applyFill="1" applyAlignment="1">
      <alignment vertical="center"/>
    </xf>
    <xf numFmtId="0" fontId="9" fillId="30" borderId="0" xfId="0" applyFont="1" applyFill="1" applyAlignment="1">
      <alignment horizontal="center" vertical="center"/>
    </xf>
    <xf numFmtId="0" fontId="9" fillId="31" borderId="0" xfId="0" applyFont="1" applyFill="1" applyAlignment="1">
      <alignment horizontal="center" vertical="center"/>
    </xf>
    <xf numFmtId="10" fontId="9" fillId="31" borderId="0" xfId="0" applyNumberFormat="1" applyFont="1" applyFill="1" applyAlignment="1">
      <alignment horizontal="center" vertical="center" wrapText="1"/>
    </xf>
    <xf numFmtId="0" fontId="9" fillId="31" borderId="0" xfId="0" applyFont="1" applyFill="1" applyAlignment="1">
      <alignment horizontal="center" vertical="center" wrapText="1"/>
    </xf>
    <xf numFmtId="165" fontId="9" fillId="31" borderId="0" xfId="0" applyNumberFormat="1" applyFont="1" applyFill="1" applyAlignment="1">
      <alignment horizontal="center" vertical="center"/>
    </xf>
    <xf numFmtId="0" fontId="9" fillId="32" borderId="0" xfId="0" applyFont="1" applyFill="1" applyAlignment="1">
      <alignment vertical="center"/>
    </xf>
    <xf numFmtId="0" fontId="9" fillId="32" borderId="0" xfId="0" applyFont="1" applyFill="1" applyAlignment="1">
      <alignment horizontal="center" vertical="center"/>
    </xf>
    <xf numFmtId="10" fontId="9" fillId="32" borderId="0" xfId="0" applyNumberFormat="1" applyFont="1" applyFill="1" applyAlignment="1">
      <alignment horizontal="center" vertical="center" wrapText="1"/>
    </xf>
    <xf numFmtId="0" fontId="9" fillId="32" borderId="0" xfId="0" applyFont="1" applyFill="1" applyAlignment="1">
      <alignment horizontal="center" vertical="center" wrapText="1"/>
    </xf>
    <xf numFmtId="165" fontId="9" fillId="32" borderId="0" xfId="0" applyNumberFormat="1" applyFont="1" applyFill="1" applyAlignment="1">
      <alignment horizontal="center" vertical="center"/>
    </xf>
    <xf numFmtId="0" fontId="9" fillId="33" borderId="0" xfId="0" applyFont="1" applyFill="1" applyAlignment="1">
      <alignment vertical="center"/>
    </xf>
    <xf numFmtId="0" fontId="9" fillId="33" borderId="0" xfId="0" applyFont="1" applyFill="1" applyAlignment="1">
      <alignment horizontal="center" vertical="center"/>
    </xf>
    <xf numFmtId="10" fontId="9" fillId="33" borderId="0" xfId="0" applyNumberFormat="1" applyFont="1" applyFill="1" applyAlignment="1">
      <alignment horizontal="center" vertical="center" wrapText="1"/>
    </xf>
    <xf numFmtId="0" fontId="9" fillId="33" borderId="0" xfId="0" applyFont="1" applyFill="1" applyAlignment="1">
      <alignment horizontal="center" vertical="center" wrapText="1"/>
    </xf>
    <xf numFmtId="165" fontId="9" fillId="33" borderId="0" xfId="0" applyNumberFormat="1" applyFont="1" applyFill="1" applyAlignment="1">
      <alignment horizontal="center" vertical="center"/>
    </xf>
    <xf numFmtId="0" fontId="13" fillId="33" borderId="0" xfId="0" applyFont="1" applyFill="1" applyAlignment="1">
      <alignment horizontal="center" vertical="center"/>
    </xf>
    <xf numFmtId="167" fontId="27" fillId="0" borderId="0" xfId="0" applyNumberFormat="1" applyFont="1" applyFill="1" applyAlignment="1">
      <alignment vertical="center"/>
    </xf>
    <xf numFmtId="167" fontId="9" fillId="0" borderId="0" xfId="0" applyNumberFormat="1" applyFont="1" applyFill="1" applyAlignment="1">
      <alignment horizontal="center" vertical="center"/>
    </xf>
    <xf numFmtId="3" fontId="27" fillId="0" borderId="0" xfId="69" applyNumberFormat="1" applyFont="1" applyFill="1" applyAlignment="1">
      <alignment horizontal="right" vertical="center"/>
    </xf>
    <xf numFmtId="167" fontId="29" fillId="0" borderId="0" xfId="0" applyNumberFormat="1" applyFont="1" applyFill="1" applyAlignment="1">
      <alignment horizontal="center" vertical="center" wrapText="1"/>
    </xf>
    <xf numFmtId="167" fontId="27" fillId="0" borderId="0" xfId="0" applyNumberFormat="1" applyFont="1" applyFill="1" applyAlignment="1">
      <alignment horizontal="center" vertical="center" wrapText="1"/>
    </xf>
    <xf numFmtId="165" fontId="9" fillId="0" borderId="0" xfId="68" applyNumberFormat="1" applyFont="1" applyFill="1" applyAlignment="1">
      <alignment horizontal="center" vertical="center"/>
    </xf>
    <xf numFmtId="3" fontId="9" fillId="0" borderId="0" xfId="69" applyNumberFormat="1" applyFont="1" applyFill="1" applyAlignment="1">
      <alignment horizontal="right" vertical="center"/>
    </xf>
    <xf numFmtId="0" fontId="11" fillId="0" borderId="0" xfId="0" applyFont="1" applyAlignment="1">
      <alignment vertical="center"/>
    </xf>
    <xf numFmtId="0" fontId="11" fillId="0" borderId="0" xfId="0" applyFont="1" applyAlignment="1">
      <alignment horizontal="center" vertical="center"/>
    </xf>
    <xf numFmtId="3" fontId="9" fillId="0" borderId="0" xfId="68" applyNumberFormat="1" applyFont="1" applyAlignment="1">
      <alignment horizontal="right" vertical="center"/>
    </xf>
    <xf numFmtId="171" fontId="11" fillId="0" borderId="0" xfId="68" applyNumberFormat="1" applyFont="1" applyAlignment="1">
      <alignment horizontal="center" vertical="center"/>
    </xf>
    <xf numFmtId="3" fontId="21" fillId="0" borderId="0" xfId="69" applyNumberFormat="1" applyFont="1" applyFill="1" applyBorder="1" applyAlignment="1" applyProtection="1">
      <alignment horizontal="right" vertical="center"/>
    </xf>
    <xf numFmtId="0" fontId="3" fillId="0" borderId="0" xfId="0" applyFont="1" applyFill="1" applyAlignment="1">
      <alignment vertical="center"/>
    </xf>
    <xf numFmtId="10" fontId="3" fillId="0" borderId="0" xfId="68" applyNumberFormat="1" applyFont="1" applyFill="1" applyAlignment="1">
      <alignment vertical="center"/>
    </xf>
    <xf numFmtId="167" fontId="9" fillId="0" borderId="0" xfId="0" applyNumberFormat="1" applyFont="1" applyAlignment="1">
      <alignment vertical="center"/>
    </xf>
    <xf numFmtId="14" fontId="9" fillId="0" borderId="0" xfId="0" applyNumberFormat="1" applyFont="1" applyAlignment="1">
      <alignment horizontal="center" vertical="center"/>
    </xf>
    <xf numFmtId="49" fontId="18" fillId="0" borderId="2" xfId="0" applyNumberFormat="1" applyFont="1" applyBorder="1" applyAlignment="1">
      <alignment vertical="center"/>
    </xf>
    <xf numFmtId="0" fontId="18" fillId="0" borderId="2" xfId="0" applyFont="1" applyFill="1" applyBorder="1" applyAlignment="1">
      <alignment horizontal="center" vertical="center"/>
    </xf>
    <xf numFmtId="0" fontId="18" fillId="0" borderId="2" xfId="0" applyFont="1" applyBorder="1" applyAlignment="1">
      <alignment horizontal="center" vertical="center"/>
    </xf>
    <xf numFmtId="3" fontId="18" fillId="0" borderId="2" xfId="0" applyNumberFormat="1" applyFont="1" applyBorder="1" applyAlignment="1">
      <alignment horizontal="right" vertical="center"/>
    </xf>
    <xf numFmtId="10" fontId="9" fillId="0" borderId="2" xfId="0" applyNumberFormat="1" applyFont="1" applyBorder="1" applyAlignment="1">
      <alignment horizontal="center" vertical="center" wrapText="1"/>
    </xf>
    <xf numFmtId="10" fontId="9" fillId="0" borderId="2" xfId="0" applyNumberFormat="1" applyFont="1" applyBorder="1" applyAlignment="1">
      <alignment horizontal="center" vertical="center"/>
    </xf>
    <xf numFmtId="49" fontId="18" fillId="0" borderId="2" xfId="0" applyNumberFormat="1" applyFont="1" applyFill="1" applyBorder="1" applyAlignment="1">
      <alignment horizontal="center" vertical="center"/>
    </xf>
    <xf numFmtId="14" fontId="11" fillId="0" borderId="2" xfId="0" applyNumberFormat="1" applyFont="1" applyBorder="1" applyAlignment="1">
      <alignment horizontal="center" vertical="center"/>
    </xf>
    <xf numFmtId="0" fontId="18" fillId="0" borderId="2" xfId="0" applyFont="1" applyBorder="1" applyAlignment="1">
      <alignment vertical="center"/>
    </xf>
    <xf numFmtId="49" fontId="1" fillId="0" borderId="2" xfId="0" applyNumberFormat="1" applyFont="1" applyFill="1" applyBorder="1" applyAlignment="1">
      <alignment horizontal="center" vertical="center"/>
    </xf>
    <xf numFmtId="0" fontId="25" fillId="0" borderId="0" xfId="0" applyFont="1" applyAlignment="1">
      <alignment vertical="center"/>
    </xf>
    <xf numFmtId="0" fontId="25" fillId="0" borderId="0" xfId="0" applyFont="1" applyAlignment="1">
      <alignment horizontal="center" vertical="center"/>
    </xf>
    <xf numFmtId="3" fontId="25" fillId="0" borderId="0" xfId="0" applyNumberFormat="1" applyFont="1" applyFill="1" applyAlignment="1">
      <alignment horizontal="right" vertical="center"/>
    </xf>
    <xf numFmtId="171" fontId="25" fillId="0" borderId="0" xfId="68" applyNumberFormat="1" applyFont="1" applyAlignment="1">
      <alignment horizontal="center" vertical="center"/>
    </xf>
    <xf numFmtId="10" fontId="33" fillId="0" borderId="0" xfId="75" applyNumberFormat="1" applyFont="1" applyFill="1" applyAlignment="1">
      <alignment horizontal="center" vertical="center" wrapText="1"/>
    </xf>
    <xf numFmtId="10" fontId="33" fillId="0" borderId="0" xfId="75" applyNumberFormat="1" applyFont="1" applyFill="1" applyAlignment="1">
      <alignment horizontal="center" vertical="center"/>
    </xf>
    <xf numFmtId="0" fontId="33" fillId="0" borderId="0" xfId="75" applyFont="1" applyFill="1" applyAlignment="1">
      <alignment horizontal="center" vertical="center"/>
    </xf>
    <xf numFmtId="10" fontId="34" fillId="0" borderId="0" xfId="75" applyNumberFormat="1" applyFont="1" applyFill="1" applyAlignment="1">
      <alignment horizontal="center" vertical="center"/>
    </xf>
    <xf numFmtId="0" fontId="25" fillId="0" borderId="0" xfId="0" applyFont="1" applyFill="1" applyAlignment="1">
      <alignment vertical="center"/>
    </xf>
    <xf numFmtId="0" fontId="25" fillId="0" borderId="0" xfId="0" applyFont="1" applyFill="1" applyAlignment="1">
      <alignment horizontal="center" vertical="center"/>
    </xf>
    <xf numFmtId="171" fontId="25" fillId="0" borderId="0" xfId="68" applyNumberFormat="1" applyFont="1" applyFill="1" applyAlignment="1">
      <alignment horizontal="center" vertical="center"/>
    </xf>
    <xf numFmtId="0" fontId="25" fillId="34" borderId="0" xfId="0" applyFont="1" applyFill="1" applyAlignment="1">
      <alignment vertical="center"/>
    </xf>
    <xf numFmtId="0" fontId="13" fillId="0" borderId="0" xfId="0" applyFont="1" applyFill="1" applyAlignment="1">
      <alignment horizontal="center" vertical="center"/>
    </xf>
    <xf numFmtId="0" fontId="22"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0" fontId="31" fillId="0" borderId="0" xfId="0" applyFont="1" applyAlignment="1">
      <alignment horizontal="center" vertical="center"/>
    </xf>
    <xf numFmtId="10" fontId="3" fillId="16" borderId="0" xfId="0" applyNumberFormat="1" applyFont="1" applyFill="1" applyAlignment="1">
      <alignment horizontal="center" vertical="center"/>
    </xf>
    <xf numFmtId="10" fontId="3" fillId="0" borderId="0" xfId="0" applyNumberFormat="1" applyFont="1" applyAlignment="1">
      <alignment horizontal="center" vertical="center" wrapText="1"/>
    </xf>
    <xf numFmtId="165" fontId="9" fillId="0" borderId="0" xfId="0" applyNumberFormat="1" applyFont="1" applyAlignment="1">
      <alignment horizontal="center" vertical="center" wrapText="1"/>
    </xf>
    <xf numFmtId="3" fontId="3" fillId="0" borderId="0" xfId="0" applyNumberFormat="1" applyFont="1" applyBorder="1" applyAlignment="1">
      <alignment horizontal="center" vertical="center"/>
    </xf>
    <xf numFmtId="171" fontId="3" fillId="0" borderId="0" xfId="68" applyNumberFormat="1" applyFont="1" applyFill="1" applyAlignment="1">
      <alignment horizontal="center" vertical="center"/>
    </xf>
    <xf numFmtId="10" fontId="3" fillId="0" borderId="0" xfId="0" applyNumberFormat="1" applyFont="1" applyAlignment="1">
      <alignment horizontal="center" vertical="center"/>
    </xf>
    <xf numFmtId="3" fontId="18" fillId="0" borderId="0" xfId="0" applyNumberFormat="1" applyFont="1" applyFill="1" applyAlignment="1">
      <alignment horizontal="right" vertical="center"/>
    </xf>
    <xf numFmtId="1" fontId="9" fillId="0" borderId="0" xfId="0" applyNumberFormat="1" applyFont="1" applyAlignment="1">
      <alignment horizontal="center" vertical="center"/>
    </xf>
    <xf numFmtId="3" fontId="11" fillId="0" borderId="2" xfId="0" applyNumberFormat="1" applyFont="1" applyBorder="1" applyAlignment="1">
      <alignment horizontal="right" vertical="center"/>
    </xf>
    <xf numFmtId="3" fontId="35" fillId="0" borderId="2" xfId="0" applyNumberFormat="1" applyFont="1" applyFill="1" applyBorder="1" applyAlignment="1">
      <alignment horizontal="right" vertical="center"/>
    </xf>
    <xf numFmtId="10" fontId="11" fillId="0" borderId="7" xfId="0" applyNumberFormat="1" applyFont="1" applyBorder="1" applyAlignment="1">
      <alignment horizontal="center" vertical="center"/>
    </xf>
    <xf numFmtId="0" fontId="35" fillId="0" borderId="2" xfId="0" applyFont="1" applyFill="1" applyBorder="1" applyAlignment="1">
      <alignment horizontal="center" vertical="center" wrapText="1"/>
    </xf>
    <xf numFmtId="3" fontId="11" fillId="0" borderId="0" xfId="0" applyNumberFormat="1" applyFont="1" applyAlignment="1">
      <alignment horizontal="right" vertical="center"/>
    </xf>
    <xf numFmtId="0" fontId="35" fillId="0" borderId="11" xfId="0" applyFont="1" applyFill="1" applyBorder="1" applyAlignment="1">
      <alignment horizontal="center" vertical="center" wrapText="1"/>
    </xf>
    <xf numFmtId="10" fontId="11" fillId="0" borderId="12" xfId="0" applyNumberFormat="1" applyFont="1" applyBorder="1" applyAlignment="1">
      <alignment horizontal="center" vertical="center"/>
    </xf>
    <xf numFmtId="3" fontId="11" fillId="0" borderId="13" xfId="0" applyNumberFormat="1" applyFont="1" applyBorder="1" applyAlignment="1">
      <alignment horizontal="right" vertical="center"/>
    </xf>
    <xf numFmtId="0" fontId="35" fillId="0" borderId="3" xfId="0" applyFont="1" applyFill="1" applyBorder="1" applyAlignment="1">
      <alignment horizontal="center" vertical="center" wrapText="1"/>
    </xf>
    <xf numFmtId="3" fontId="11" fillId="0" borderId="16" xfId="0" applyNumberFormat="1" applyFont="1" applyBorder="1" applyAlignment="1">
      <alignment horizontal="right" vertical="center"/>
    </xf>
    <xf numFmtId="0" fontId="35" fillId="0" borderId="14" xfId="0" applyFont="1" applyFill="1" applyBorder="1" applyAlignment="1">
      <alignment vertical="center"/>
    </xf>
    <xf numFmtId="0" fontId="35" fillId="0" borderId="17" xfId="0" applyFont="1" applyFill="1" applyBorder="1" applyAlignment="1">
      <alignment vertical="center"/>
    </xf>
    <xf numFmtId="0" fontId="35" fillId="0" borderId="18" xfId="0" applyFont="1" applyFill="1" applyBorder="1" applyAlignment="1">
      <alignment vertical="center"/>
    </xf>
    <xf numFmtId="3" fontId="27" fillId="0" borderId="2" xfId="0" applyNumberFormat="1" applyFont="1" applyFill="1" applyBorder="1" applyAlignment="1">
      <alignment horizontal="right" vertical="center"/>
    </xf>
    <xf numFmtId="3" fontId="27" fillId="0" borderId="2" xfId="70" applyNumberFormat="1" applyFont="1" applyFill="1" applyBorder="1" applyAlignment="1">
      <alignment horizontal="right" vertical="center"/>
    </xf>
    <xf numFmtId="14" fontId="27" fillId="0" borderId="2" xfId="0" applyNumberFormat="1" applyFont="1" applyBorder="1" applyAlignment="1">
      <alignment horizontal="center" vertical="center"/>
    </xf>
    <xf numFmtId="3" fontId="9" fillId="0" borderId="2" xfId="69" applyNumberFormat="1" applyFont="1" applyBorder="1" applyAlignment="1">
      <alignment horizontal="right" vertical="center"/>
    </xf>
    <xf numFmtId="171" fontId="9" fillId="0" borderId="2" xfId="68" applyNumberFormat="1" applyFont="1" applyBorder="1" applyAlignment="1">
      <alignment horizontal="center" vertical="center"/>
    </xf>
    <xf numFmtId="174" fontId="9" fillId="0" borderId="2" xfId="69" applyNumberFormat="1" applyFont="1" applyBorder="1" applyAlignment="1">
      <alignment horizontal="center" vertical="center" wrapText="1"/>
    </xf>
    <xf numFmtId="171" fontId="9" fillId="0" borderId="2" xfId="68" applyNumberFormat="1" applyFont="1" applyBorder="1" applyAlignment="1">
      <alignment horizontal="center" vertical="center" wrapText="1"/>
    </xf>
    <xf numFmtId="165" fontId="9" fillId="0" borderId="2" xfId="0" applyNumberFormat="1" applyFont="1" applyBorder="1" applyAlignment="1">
      <alignment horizontal="center" vertical="center"/>
    </xf>
    <xf numFmtId="10" fontId="9" fillId="0" borderId="2" xfId="0" applyNumberFormat="1" applyFont="1" applyFill="1" applyBorder="1" applyAlignment="1">
      <alignment horizontal="center" vertical="center"/>
    </xf>
    <xf numFmtId="3" fontId="9" fillId="0" borderId="0" xfId="0" applyNumberFormat="1" applyFont="1" applyAlignment="1">
      <alignment vertical="center"/>
    </xf>
    <xf numFmtId="0" fontId="38" fillId="0" borderId="0" xfId="0" applyFont="1" applyAlignment="1">
      <alignment vertical="center"/>
    </xf>
    <xf numFmtId="0" fontId="38" fillId="0" borderId="0" xfId="0" applyFont="1" applyAlignment="1">
      <alignment horizontal="center" vertical="center"/>
    </xf>
    <xf numFmtId="3" fontId="38" fillId="0" borderId="0" xfId="0" applyNumberFormat="1" applyFont="1" applyAlignment="1">
      <alignment horizontal="right" vertical="center"/>
    </xf>
    <xf numFmtId="10" fontId="38" fillId="0" borderId="0" xfId="68" applyNumberFormat="1" applyFont="1" applyAlignment="1">
      <alignment horizontal="center" vertical="center"/>
    </xf>
    <xf numFmtId="10" fontId="38" fillId="0" borderId="0" xfId="68" applyNumberFormat="1" applyFont="1" applyAlignment="1">
      <alignment horizontal="center" vertical="center" wrapText="1"/>
    </xf>
    <xf numFmtId="10" fontId="38" fillId="0" borderId="0" xfId="0" applyNumberFormat="1" applyFont="1" applyAlignment="1">
      <alignment horizontal="center" vertical="center" wrapText="1"/>
    </xf>
    <xf numFmtId="10" fontId="38" fillId="0" borderId="0" xfId="0" applyNumberFormat="1" applyFont="1" applyAlignment="1">
      <alignment horizontal="center" vertical="center"/>
    </xf>
    <xf numFmtId="165" fontId="38" fillId="0" borderId="0" xfId="0" applyNumberFormat="1" applyFont="1" applyAlignment="1">
      <alignment horizontal="center" vertical="center"/>
    </xf>
    <xf numFmtId="3" fontId="38" fillId="0" borderId="0" xfId="69" applyNumberFormat="1" applyFont="1" applyAlignment="1">
      <alignment horizontal="right" vertical="center"/>
    </xf>
    <xf numFmtId="3" fontId="3" fillId="35" borderId="2" xfId="0" applyNumberFormat="1" applyFont="1" applyFill="1" applyBorder="1" applyAlignment="1">
      <alignment horizontal="right" vertical="center"/>
    </xf>
    <xf numFmtId="3" fontId="38" fillId="0" borderId="2" xfId="0" applyNumberFormat="1" applyFont="1" applyBorder="1" applyAlignment="1">
      <alignment horizontal="right" vertical="center"/>
    </xf>
    <xf numFmtId="0" fontId="38" fillId="0" borderId="2" xfId="0" applyFont="1" applyBorder="1" applyAlignment="1">
      <alignment horizontal="center" vertical="center"/>
    </xf>
    <xf numFmtId="10" fontId="38" fillId="0" borderId="2" xfId="0" applyNumberFormat="1" applyFont="1" applyBorder="1" applyAlignment="1">
      <alignment horizontal="center" vertical="center"/>
    </xf>
    <xf numFmtId="10" fontId="3" fillId="17" borderId="2" xfId="0" applyNumberFormat="1" applyFont="1" applyFill="1" applyBorder="1" applyAlignment="1">
      <alignment horizontal="center" vertical="center"/>
    </xf>
    <xf numFmtId="10" fontId="3" fillId="17" borderId="2" xfId="0" applyNumberFormat="1" applyFont="1" applyFill="1" applyBorder="1" applyAlignment="1">
      <alignment horizontal="center" vertical="center" wrapText="1"/>
    </xf>
    <xf numFmtId="3" fontId="38" fillId="0" borderId="2" xfId="69" applyNumberFormat="1" applyFont="1" applyBorder="1" applyAlignment="1">
      <alignment horizontal="right" vertical="center"/>
    </xf>
    <xf numFmtId="3" fontId="38" fillId="35" borderId="2" xfId="0" applyNumberFormat="1" applyFont="1" applyFill="1" applyBorder="1" applyAlignment="1">
      <alignment horizontal="right" vertical="center"/>
    </xf>
    <xf numFmtId="165" fontId="38" fillId="0" borderId="2" xfId="0" applyNumberFormat="1" applyFont="1" applyBorder="1" applyAlignment="1">
      <alignment horizontal="center" vertical="center"/>
    </xf>
    <xf numFmtId="10" fontId="38" fillId="0" borderId="2" xfId="0" applyNumberFormat="1" applyFont="1" applyBorder="1" applyAlignment="1">
      <alignment horizontal="center" vertical="center" wrapText="1"/>
    </xf>
    <xf numFmtId="10" fontId="3" fillId="0" borderId="2" xfId="0" applyNumberFormat="1" applyFont="1" applyBorder="1" applyAlignment="1">
      <alignment horizontal="center" vertical="center" wrapText="1"/>
    </xf>
    <xf numFmtId="3" fontId="3" fillId="17" borderId="2" xfId="0" applyNumberFormat="1" applyFont="1" applyFill="1" applyBorder="1" applyAlignment="1">
      <alignment horizontal="right" vertical="center"/>
    </xf>
    <xf numFmtId="0" fontId="38" fillId="0" borderId="0" xfId="0" applyFont="1" applyAlignment="1">
      <alignment vertical="center"/>
    </xf>
    <xf numFmtId="0" fontId="38" fillId="0" borderId="2" xfId="0" applyFont="1" applyBorder="1" applyAlignment="1">
      <alignment vertical="center"/>
    </xf>
    <xf numFmtId="10" fontId="3" fillId="0" borderId="2" xfId="0" applyNumberFormat="1" applyFont="1" applyFill="1" applyBorder="1" applyAlignment="1">
      <alignment horizontal="center" vertical="center"/>
    </xf>
    <xf numFmtId="3" fontId="3" fillId="0" borderId="2" xfId="0" applyNumberFormat="1" applyFont="1" applyFill="1" applyBorder="1" applyAlignment="1">
      <alignment horizontal="right" vertical="center"/>
    </xf>
    <xf numFmtId="0" fontId="3" fillId="0" borderId="2" xfId="0" applyFont="1" applyFill="1" applyBorder="1" applyAlignment="1">
      <alignment horizontal="center" vertical="center"/>
    </xf>
    <xf numFmtId="0" fontId="3" fillId="0" borderId="2" xfId="0" applyFont="1" applyBorder="1" applyAlignment="1">
      <alignment vertical="center" wrapText="1"/>
    </xf>
    <xf numFmtId="3" fontId="3" fillId="0" borderId="2" xfId="0" applyNumberFormat="1" applyFont="1" applyBorder="1" applyAlignment="1">
      <alignment horizontal="center" vertical="center"/>
    </xf>
    <xf numFmtId="10" fontId="3" fillId="0" borderId="2" xfId="68" applyNumberFormat="1" applyFont="1" applyBorder="1" applyAlignment="1">
      <alignment horizontal="center" vertical="center" wrapText="1"/>
    </xf>
    <xf numFmtId="165" fontId="3" fillId="0" borderId="2" xfId="0" applyNumberFormat="1" applyFont="1" applyBorder="1" applyAlignment="1">
      <alignment horizontal="center" vertical="center"/>
    </xf>
    <xf numFmtId="3" fontId="3" fillId="0" borderId="2" xfId="69" applyNumberFormat="1" applyFont="1" applyBorder="1" applyAlignment="1">
      <alignment horizontal="right" vertical="center"/>
    </xf>
    <xf numFmtId="10" fontId="3" fillId="0" borderId="2" xfId="68" applyNumberFormat="1" applyFont="1" applyBorder="1" applyAlignment="1">
      <alignment horizontal="center" vertical="center"/>
    </xf>
    <xf numFmtId="0" fontId="3" fillId="16" borderId="2" xfId="0" applyFont="1" applyFill="1" applyBorder="1" applyAlignment="1">
      <alignment vertical="center"/>
    </xf>
    <xf numFmtId="0" fontId="3" fillId="16" borderId="2" xfId="0" applyFont="1" applyFill="1" applyBorder="1" applyAlignment="1">
      <alignment horizontal="center" vertical="center"/>
    </xf>
    <xf numFmtId="3" fontId="3" fillId="16" borderId="2" xfId="0" applyNumberFormat="1" applyFont="1" applyFill="1" applyBorder="1" applyAlignment="1">
      <alignment horizontal="right" vertical="center"/>
    </xf>
    <xf numFmtId="10" fontId="3" fillId="16" borderId="2" xfId="0" applyNumberFormat="1" applyFont="1" applyFill="1" applyBorder="1" applyAlignment="1">
      <alignment horizontal="center" vertical="center" wrapText="1"/>
    </xf>
    <xf numFmtId="165" fontId="3" fillId="16" borderId="2" xfId="0" applyNumberFormat="1" applyFont="1" applyFill="1" applyBorder="1" applyAlignment="1">
      <alignment horizontal="center" vertical="center"/>
    </xf>
    <xf numFmtId="10" fontId="3" fillId="16" borderId="2" xfId="0" applyNumberFormat="1" applyFont="1" applyFill="1" applyBorder="1" applyAlignment="1">
      <alignment horizontal="center" vertical="center"/>
    </xf>
    <xf numFmtId="0" fontId="3" fillId="16" borderId="2" xfId="0" applyFont="1" applyFill="1" applyBorder="1" applyAlignment="1">
      <alignment horizontal="center" vertical="center" wrapText="1"/>
    </xf>
    <xf numFmtId="165" fontId="3" fillId="16" borderId="2" xfId="0" applyNumberFormat="1" applyFont="1" applyFill="1" applyBorder="1" applyAlignment="1">
      <alignment horizontal="center" vertical="center" wrapText="1"/>
    </xf>
    <xf numFmtId="165" fontId="3" fillId="0" borderId="2" xfId="0" applyNumberFormat="1" applyFont="1" applyBorder="1" applyAlignment="1">
      <alignment horizontal="center" vertical="center" wrapText="1"/>
    </xf>
    <xf numFmtId="3" fontId="3" fillId="35" borderId="2" xfId="69" applyNumberFormat="1" applyFont="1" applyFill="1" applyBorder="1" applyAlignment="1">
      <alignment horizontal="right" vertical="center"/>
    </xf>
    <xf numFmtId="3" fontId="3" fillId="0" borderId="2" xfId="0" applyNumberFormat="1" applyFont="1" applyFill="1" applyBorder="1" applyAlignment="1">
      <alignment horizontal="center" vertical="center"/>
    </xf>
    <xf numFmtId="3" fontId="3" fillId="35" borderId="2" xfId="71" applyNumberFormat="1" applyFont="1" applyFill="1" applyBorder="1" applyAlignment="1">
      <alignment horizontal="right" vertical="center"/>
    </xf>
    <xf numFmtId="3" fontId="3" fillId="0" borderId="2" xfId="71" applyNumberFormat="1" applyFont="1" applyFill="1" applyBorder="1" applyAlignment="1">
      <alignment horizontal="right" vertical="center"/>
    </xf>
    <xf numFmtId="3" fontId="3" fillId="0" borderId="2" xfId="71" applyNumberFormat="1" applyFont="1" applyFill="1" applyBorder="1" applyAlignment="1">
      <alignment horizontal="center" vertical="center"/>
    </xf>
    <xf numFmtId="10" fontId="3" fillId="0" borderId="2" xfId="71" applyNumberFormat="1" applyFont="1" applyFill="1" applyBorder="1" applyAlignment="1">
      <alignment horizontal="center" vertical="center"/>
    </xf>
    <xf numFmtId="0" fontId="3" fillId="18" borderId="2" xfId="0" applyFont="1" applyFill="1" applyBorder="1" applyAlignment="1">
      <alignment vertical="center"/>
    </xf>
    <xf numFmtId="0" fontId="3" fillId="18" borderId="2" xfId="0" applyFont="1" applyFill="1" applyBorder="1" applyAlignment="1">
      <alignment horizontal="center" vertical="center"/>
    </xf>
    <xf numFmtId="3" fontId="3" fillId="18" borderId="2" xfId="0" applyNumberFormat="1" applyFont="1" applyFill="1" applyBorder="1" applyAlignment="1">
      <alignment horizontal="right" vertical="center"/>
    </xf>
    <xf numFmtId="10" fontId="3" fillId="18" borderId="2" xfId="0" applyNumberFormat="1" applyFont="1" applyFill="1" applyBorder="1" applyAlignment="1">
      <alignment horizontal="center" vertical="center" wrapText="1"/>
    </xf>
    <xf numFmtId="0" fontId="3" fillId="18" borderId="2" xfId="0" applyFont="1" applyFill="1" applyBorder="1" applyAlignment="1">
      <alignment horizontal="center" vertical="center" wrapText="1"/>
    </xf>
    <xf numFmtId="165" fontId="3" fillId="18" borderId="2" xfId="0" applyNumberFormat="1" applyFont="1" applyFill="1" applyBorder="1" applyAlignment="1">
      <alignment horizontal="center" vertical="center" wrapText="1"/>
    </xf>
    <xf numFmtId="165" fontId="3" fillId="18" borderId="2" xfId="0" applyNumberFormat="1" applyFont="1" applyFill="1" applyBorder="1" applyAlignment="1">
      <alignment horizontal="center" vertical="center"/>
    </xf>
    <xf numFmtId="10" fontId="3" fillId="18" borderId="2" xfId="0" applyNumberFormat="1" applyFont="1" applyFill="1" applyBorder="1" applyAlignment="1">
      <alignment horizontal="center" vertical="center"/>
    </xf>
    <xf numFmtId="41" fontId="3" fillId="0" borderId="2" xfId="0" applyNumberFormat="1" applyFont="1" applyBorder="1" applyAlignment="1">
      <alignment horizontal="center" vertical="center"/>
    </xf>
    <xf numFmtId="0" fontId="3" fillId="20" borderId="2" xfId="0" applyFont="1" applyFill="1" applyBorder="1" applyAlignment="1">
      <alignment vertical="center"/>
    </xf>
    <xf numFmtId="0" fontId="3" fillId="20" borderId="2" xfId="0" applyFont="1" applyFill="1" applyBorder="1" applyAlignment="1">
      <alignment horizontal="center" vertical="center"/>
    </xf>
    <xf numFmtId="3" fontId="3" fillId="20" borderId="2" xfId="0" applyNumberFormat="1" applyFont="1" applyFill="1" applyBorder="1" applyAlignment="1">
      <alignment horizontal="right" vertical="center"/>
    </xf>
    <xf numFmtId="10" fontId="3" fillId="20" borderId="2" xfId="0" applyNumberFormat="1" applyFont="1" applyFill="1" applyBorder="1" applyAlignment="1">
      <alignment horizontal="center" vertical="center" wrapText="1"/>
    </xf>
    <xf numFmtId="0" fontId="3" fillId="20" borderId="2" xfId="0" applyFont="1" applyFill="1" applyBorder="1" applyAlignment="1">
      <alignment horizontal="center" vertical="center" wrapText="1"/>
    </xf>
    <xf numFmtId="165" fontId="3" fillId="20" borderId="2" xfId="0" applyNumberFormat="1" applyFont="1" applyFill="1" applyBorder="1" applyAlignment="1">
      <alignment horizontal="center" vertical="center" wrapText="1"/>
    </xf>
    <xf numFmtId="165" fontId="3" fillId="20" borderId="2" xfId="0" applyNumberFormat="1" applyFont="1" applyFill="1" applyBorder="1" applyAlignment="1">
      <alignment horizontal="center" vertical="center"/>
    </xf>
    <xf numFmtId="41" fontId="3" fillId="20" borderId="2" xfId="0" applyNumberFormat="1" applyFont="1" applyFill="1" applyBorder="1" applyAlignment="1">
      <alignment horizontal="center" vertical="center"/>
    </xf>
    <xf numFmtId="10" fontId="3" fillId="20" borderId="2" xfId="0" applyNumberFormat="1" applyFont="1" applyFill="1" applyBorder="1" applyAlignment="1">
      <alignment horizontal="center" vertical="center"/>
    </xf>
    <xf numFmtId="0" fontId="3" fillId="21" borderId="2" xfId="0" applyFont="1" applyFill="1" applyBorder="1" applyAlignment="1">
      <alignment vertical="center"/>
    </xf>
    <xf numFmtId="0" fontId="3" fillId="21" borderId="2" xfId="0" applyFont="1" applyFill="1" applyBorder="1" applyAlignment="1">
      <alignment horizontal="center" vertical="center"/>
    </xf>
    <xf numFmtId="3" fontId="3" fillId="21" borderId="2" xfId="0" applyNumberFormat="1" applyFont="1" applyFill="1" applyBorder="1" applyAlignment="1">
      <alignment horizontal="right" vertical="center"/>
    </xf>
    <xf numFmtId="10" fontId="3" fillId="21" borderId="2" xfId="0" applyNumberFormat="1" applyFont="1" applyFill="1" applyBorder="1" applyAlignment="1">
      <alignment horizontal="center" vertical="center" wrapText="1"/>
    </xf>
    <xf numFmtId="0" fontId="3" fillId="21" borderId="2" xfId="0" applyFont="1" applyFill="1" applyBorder="1" applyAlignment="1">
      <alignment horizontal="center" vertical="center" wrapText="1"/>
    </xf>
    <xf numFmtId="165" fontId="3" fillId="21" borderId="2" xfId="0" applyNumberFormat="1" applyFont="1" applyFill="1" applyBorder="1" applyAlignment="1">
      <alignment horizontal="center" vertical="center" wrapText="1"/>
    </xf>
    <xf numFmtId="165" fontId="3" fillId="21" borderId="2" xfId="0" applyNumberFormat="1" applyFont="1" applyFill="1" applyBorder="1" applyAlignment="1">
      <alignment horizontal="center" vertical="center"/>
    </xf>
    <xf numFmtId="41" fontId="3" fillId="21" borderId="2" xfId="0" applyNumberFormat="1" applyFont="1" applyFill="1" applyBorder="1" applyAlignment="1">
      <alignment horizontal="center" vertical="center"/>
    </xf>
    <xf numFmtId="10" fontId="3" fillId="21" borderId="2" xfId="0" applyNumberFormat="1" applyFont="1" applyFill="1" applyBorder="1" applyAlignment="1">
      <alignment horizontal="center" vertical="center"/>
    </xf>
    <xf numFmtId="0" fontId="3" fillId="22" borderId="2" xfId="0" applyFont="1" applyFill="1" applyBorder="1" applyAlignment="1">
      <alignment vertical="center"/>
    </xf>
    <xf numFmtId="0" fontId="3" fillId="22" borderId="2" xfId="0" applyFont="1" applyFill="1" applyBorder="1" applyAlignment="1">
      <alignment horizontal="center" vertical="center"/>
    </xf>
    <xf numFmtId="3" fontId="3" fillId="22" borderId="2" xfId="0" applyNumberFormat="1" applyFont="1" applyFill="1" applyBorder="1" applyAlignment="1">
      <alignment horizontal="right" vertical="center"/>
    </xf>
    <xf numFmtId="10" fontId="3" fillId="22" borderId="2" xfId="0" applyNumberFormat="1" applyFont="1" applyFill="1" applyBorder="1" applyAlignment="1">
      <alignment horizontal="center" vertical="center" wrapText="1"/>
    </xf>
    <xf numFmtId="0" fontId="3" fillId="22" borderId="2" xfId="0" applyFont="1" applyFill="1" applyBorder="1" applyAlignment="1">
      <alignment horizontal="center" vertical="center" wrapText="1"/>
    </xf>
    <xf numFmtId="165" fontId="3" fillId="22" borderId="2" xfId="0" applyNumberFormat="1" applyFont="1" applyFill="1" applyBorder="1" applyAlignment="1">
      <alignment horizontal="center" vertical="center" wrapText="1"/>
    </xf>
    <xf numFmtId="165" fontId="3" fillId="22" borderId="2" xfId="0" applyNumberFormat="1" applyFont="1" applyFill="1" applyBorder="1" applyAlignment="1">
      <alignment horizontal="center" vertical="center"/>
    </xf>
    <xf numFmtId="41" fontId="3" fillId="22" borderId="2" xfId="0" applyNumberFormat="1" applyFont="1" applyFill="1" applyBorder="1" applyAlignment="1">
      <alignment horizontal="center" vertical="center"/>
    </xf>
    <xf numFmtId="10" fontId="3" fillId="22" borderId="2" xfId="0" applyNumberFormat="1" applyFont="1" applyFill="1" applyBorder="1" applyAlignment="1">
      <alignment horizontal="center" vertical="center"/>
    </xf>
    <xf numFmtId="0" fontId="3" fillId="17" borderId="2" xfId="0" applyFont="1" applyFill="1" applyBorder="1" applyAlignment="1">
      <alignment vertical="center"/>
    </xf>
    <xf numFmtId="0" fontId="3" fillId="17" borderId="2" xfId="0" applyFont="1" applyFill="1" applyBorder="1" applyAlignment="1">
      <alignment horizontal="center" vertical="center" wrapText="1"/>
    </xf>
    <xf numFmtId="165" fontId="3" fillId="17" borderId="2" xfId="0" applyNumberFormat="1" applyFont="1" applyFill="1" applyBorder="1" applyAlignment="1">
      <alignment horizontal="center" vertical="center" wrapText="1"/>
    </xf>
    <xf numFmtId="165" fontId="3" fillId="17" borderId="2" xfId="0" applyNumberFormat="1" applyFont="1" applyFill="1" applyBorder="1" applyAlignment="1">
      <alignment horizontal="center" vertical="center"/>
    </xf>
    <xf numFmtId="41" fontId="3" fillId="17" borderId="2" xfId="0" applyNumberFormat="1" applyFont="1" applyFill="1" applyBorder="1" applyAlignment="1">
      <alignment horizontal="center" vertical="center"/>
    </xf>
    <xf numFmtId="0" fontId="3" fillId="23" borderId="2" xfId="0" applyFont="1" applyFill="1" applyBorder="1" applyAlignment="1">
      <alignment vertical="center"/>
    </xf>
    <xf numFmtId="0" fontId="3" fillId="23" borderId="2" xfId="0" applyFont="1" applyFill="1" applyBorder="1" applyAlignment="1">
      <alignment horizontal="center" vertical="center"/>
    </xf>
    <xf numFmtId="3" fontId="3" fillId="23" borderId="2" xfId="0" applyNumberFormat="1" applyFont="1" applyFill="1" applyBorder="1" applyAlignment="1">
      <alignment horizontal="right" vertical="center"/>
    </xf>
    <xf numFmtId="10" fontId="3" fillId="23" borderId="2" xfId="0" applyNumberFormat="1" applyFont="1" applyFill="1" applyBorder="1" applyAlignment="1">
      <alignment horizontal="center" vertical="center" wrapText="1"/>
    </xf>
    <xf numFmtId="0" fontId="3" fillId="23" borderId="2" xfId="0" applyFont="1" applyFill="1" applyBorder="1" applyAlignment="1">
      <alignment horizontal="center" vertical="center" wrapText="1"/>
    </xf>
    <xf numFmtId="165" fontId="3" fillId="23" borderId="2" xfId="0" applyNumberFormat="1" applyFont="1" applyFill="1" applyBorder="1" applyAlignment="1">
      <alignment horizontal="center" vertical="center" wrapText="1"/>
    </xf>
    <xf numFmtId="165" fontId="3" fillId="23" borderId="2" xfId="0" applyNumberFormat="1" applyFont="1" applyFill="1" applyBorder="1" applyAlignment="1">
      <alignment horizontal="center" vertical="center"/>
    </xf>
    <xf numFmtId="41" fontId="3" fillId="23" borderId="2" xfId="0" applyNumberFormat="1" applyFont="1" applyFill="1" applyBorder="1" applyAlignment="1">
      <alignment horizontal="center" vertical="center"/>
    </xf>
    <xf numFmtId="10" fontId="3" fillId="23" borderId="2" xfId="0" applyNumberFormat="1" applyFont="1" applyFill="1" applyBorder="1" applyAlignment="1">
      <alignment horizontal="center" vertical="center"/>
    </xf>
    <xf numFmtId="0" fontId="3" fillId="24" borderId="2" xfId="0" applyFont="1" applyFill="1" applyBorder="1" applyAlignment="1">
      <alignment vertical="center"/>
    </xf>
    <xf numFmtId="0" fontId="3" fillId="24" borderId="2" xfId="0" applyFont="1" applyFill="1" applyBorder="1" applyAlignment="1">
      <alignment horizontal="center" vertical="center"/>
    </xf>
    <xf numFmtId="3" fontId="3" fillId="24" borderId="2" xfId="0" applyNumberFormat="1" applyFont="1" applyFill="1" applyBorder="1" applyAlignment="1">
      <alignment horizontal="right" vertical="center"/>
    </xf>
    <xf numFmtId="10" fontId="3" fillId="24" borderId="2" xfId="0" applyNumberFormat="1" applyFont="1" applyFill="1" applyBorder="1" applyAlignment="1">
      <alignment horizontal="center" vertical="center" wrapText="1"/>
    </xf>
    <xf numFmtId="0" fontId="3" fillId="24" borderId="2" xfId="0" applyFont="1" applyFill="1" applyBorder="1" applyAlignment="1">
      <alignment horizontal="center" vertical="center" wrapText="1"/>
    </xf>
    <xf numFmtId="165" fontId="3" fillId="24" borderId="2" xfId="0" applyNumberFormat="1" applyFont="1" applyFill="1" applyBorder="1" applyAlignment="1">
      <alignment horizontal="center" vertical="center" wrapText="1"/>
    </xf>
    <xf numFmtId="165" fontId="3" fillId="24" borderId="2" xfId="0" applyNumberFormat="1" applyFont="1" applyFill="1" applyBorder="1" applyAlignment="1">
      <alignment horizontal="center" vertical="center"/>
    </xf>
    <xf numFmtId="41" fontId="3" fillId="24" borderId="2" xfId="0" applyNumberFormat="1" applyFont="1" applyFill="1" applyBorder="1" applyAlignment="1">
      <alignment horizontal="center" vertical="center"/>
    </xf>
    <xf numFmtId="10" fontId="3" fillId="24" borderId="2" xfId="0" applyNumberFormat="1" applyFont="1" applyFill="1" applyBorder="1" applyAlignment="1">
      <alignment horizontal="center" vertical="center"/>
    </xf>
    <xf numFmtId="0" fontId="3" fillId="25" borderId="2" xfId="0" applyFont="1" applyFill="1" applyBorder="1" applyAlignment="1">
      <alignment vertical="center"/>
    </xf>
    <xf numFmtId="0" fontId="3" fillId="25" borderId="2" xfId="0" applyFont="1" applyFill="1" applyBorder="1" applyAlignment="1">
      <alignment horizontal="center" vertical="center"/>
    </xf>
    <xf numFmtId="3" fontId="3" fillId="25" borderId="2" xfId="0" applyNumberFormat="1" applyFont="1" applyFill="1" applyBorder="1" applyAlignment="1">
      <alignment horizontal="right" vertical="center"/>
    </xf>
    <xf numFmtId="10" fontId="3" fillId="25" borderId="2" xfId="0" applyNumberFormat="1" applyFont="1" applyFill="1" applyBorder="1" applyAlignment="1">
      <alignment horizontal="center" vertical="center" wrapText="1"/>
    </xf>
    <xf numFmtId="0" fontId="3" fillId="25" borderId="2" xfId="0" applyFont="1" applyFill="1" applyBorder="1" applyAlignment="1">
      <alignment horizontal="center" vertical="center" wrapText="1"/>
    </xf>
    <xf numFmtId="165" fontId="3" fillId="25" borderId="2" xfId="0" applyNumberFormat="1" applyFont="1" applyFill="1" applyBorder="1" applyAlignment="1">
      <alignment horizontal="center" vertical="center" wrapText="1"/>
    </xf>
    <xf numFmtId="165" fontId="3" fillId="25" borderId="2" xfId="0" applyNumberFormat="1" applyFont="1" applyFill="1" applyBorder="1" applyAlignment="1">
      <alignment horizontal="center" vertical="center"/>
    </xf>
    <xf numFmtId="41" fontId="3" fillId="25" borderId="2" xfId="0" applyNumberFormat="1" applyFont="1" applyFill="1" applyBorder="1" applyAlignment="1">
      <alignment horizontal="center" vertical="center"/>
    </xf>
    <xf numFmtId="10" fontId="3" fillId="25" borderId="2" xfId="0" applyNumberFormat="1" applyFont="1" applyFill="1" applyBorder="1" applyAlignment="1">
      <alignment horizontal="center" vertical="center"/>
    </xf>
    <xf numFmtId="0" fontId="3" fillId="26" borderId="2" xfId="0" applyFont="1" applyFill="1" applyBorder="1" applyAlignment="1">
      <alignment vertical="center"/>
    </xf>
    <xf numFmtId="0" fontId="3" fillId="26" borderId="2" xfId="0" applyFont="1" applyFill="1" applyBorder="1" applyAlignment="1">
      <alignment horizontal="center" vertical="center"/>
    </xf>
    <xf numFmtId="3" fontId="3" fillId="26" borderId="2" xfId="0" applyNumberFormat="1" applyFont="1" applyFill="1" applyBorder="1" applyAlignment="1">
      <alignment horizontal="right" vertical="center"/>
    </xf>
    <xf numFmtId="10" fontId="3" fillId="26" borderId="2" xfId="0" applyNumberFormat="1" applyFont="1" applyFill="1" applyBorder="1" applyAlignment="1">
      <alignment horizontal="center" vertical="center" wrapText="1"/>
    </xf>
    <xf numFmtId="0" fontId="3" fillId="26" borderId="2" xfId="0" applyFont="1" applyFill="1" applyBorder="1" applyAlignment="1">
      <alignment horizontal="center" vertical="center" wrapText="1"/>
    </xf>
    <xf numFmtId="165" fontId="3" fillId="26" borderId="2" xfId="0" applyNumberFormat="1" applyFont="1" applyFill="1" applyBorder="1" applyAlignment="1">
      <alignment horizontal="center" vertical="center" wrapText="1"/>
    </xf>
    <xf numFmtId="165" fontId="3" fillId="26" borderId="2" xfId="0" applyNumberFormat="1" applyFont="1" applyFill="1" applyBorder="1" applyAlignment="1">
      <alignment horizontal="center" vertical="center"/>
    </xf>
    <xf numFmtId="41" fontId="3" fillId="26" borderId="2" xfId="0" applyNumberFormat="1" applyFont="1" applyFill="1" applyBorder="1" applyAlignment="1">
      <alignment horizontal="center" vertical="center"/>
    </xf>
    <xf numFmtId="10" fontId="3" fillId="26" borderId="2" xfId="0" applyNumberFormat="1" applyFont="1" applyFill="1" applyBorder="1" applyAlignment="1">
      <alignment horizontal="center" vertical="center"/>
    </xf>
    <xf numFmtId="0" fontId="3" fillId="27" borderId="2" xfId="0" applyFont="1" applyFill="1" applyBorder="1" applyAlignment="1">
      <alignment vertical="center"/>
    </xf>
    <xf numFmtId="0" fontId="3" fillId="27" borderId="2" xfId="0" applyFont="1" applyFill="1" applyBorder="1" applyAlignment="1">
      <alignment horizontal="center" vertical="center"/>
    </xf>
    <xf numFmtId="3" fontId="3" fillId="28" borderId="2" xfId="0" applyNumberFormat="1" applyFont="1" applyFill="1" applyBorder="1" applyAlignment="1">
      <alignment horizontal="right" vertical="center"/>
    </xf>
    <xf numFmtId="10" fontId="3" fillId="28" borderId="2" xfId="0" applyNumberFormat="1" applyFont="1" applyFill="1" applyBorder="1" applyAlignment="1">
      <alignment horizontal="center" vertical="center" wrapText="1"/>
    </xf>
    <xf numFmtId="0" fontId="3" fillId="28" borderId="2" xfId="0" applyFont="1" applyFill="1" applyBorder="1" applyAlignment="1">
      <alignment horizontal="center" vertical="center" wrapText="1"/>
    </xf>
    <xf numFmtId="165" fontId="3" fillId="28" borderId="2" xfId="0" applyNumberFormat="1" applyFont="1" applyFill="1" applyBorder="1" applyAlignment="1">
      <alignment horizontal="center" vertical="center" wrapText="1"/>
    </xf>
    <xf numFmtId="165" fontId="3" fillId="28" borderId="2" xfId="0" applyNumberFormat="1" applyFont="1" applyFill="1" applyBorder="1" applyAlignment="1">
      <alignment horizontal="center" vertical="center"/>
    </xf>
    <xf numFmtId="41" fontId="3" fillId="28" borderId="2" xfId="0" applyNumberFormat="1" applyFont="1" applyFill="1" applyBorder="1" applyAlignment="1">
      <alignment horizontal="center" vertical="center"/>
    </xf>
    <xf numFmtId="10" fontId="3" fillId="28" borderId="2" xfId="0" applyNumberFormat="1" applyFont="1" applyFill="1" applyBorder="1" applyAlignment="1">
      <alignment horizontal="center" vertical="center"/>
    </xf>
    <xf numFmtId="0" fontId="3" fillId="29" borderId="2" xfId="0" applyFont="1" applyFill="1" applyBorder="1" applyAlignment="1">
      <alignment vertical="center"/>
    </xf>
    <xf numFmtId="0" fontId="3" fillId="29" borderId="2" xfId="0" applyFont="1" applyFill="1" applyBorder="1" applyAlignment="1">
      <alignment horizontal="center" vertical="center"/>
    </xf>
    <xf numFmtId="3" fontId="3" fillId="29" borderId="2" xfId="0" applyNumberFormat="1" applyFont="1" applyFill="1" applyBorder="1" applyAlignment="1">
      <alignment horizontal="right" vertical="center"/>
    </xf>
    <xf numFmtId="10" fontId="3" fillId="29" borderId="2" xfId="0" applyNumberFormat="1" applyFont="1" applyFill="1" applyBorder="1" applyAlignment="1">
      <alignment horizontal="center" vertical="center" wrapText="1"/>
    </xf>
    <xf numFmtId="0" fontId="3" fillId="29" borderId="2" xfId="0" applyFont="1" applyFill="1" applyBorder="1" applyAlignment="1">
      <alignment horizontal="center" vertical="center" wrapText="1"/>
    </xf>
    <xf numFmtId="165" fontId="3" fillId="29" borderId="2" xfId="0" applyNumberFormat="1" applyFont="1" applyFill="1" applyBorder="1" applyAlignment="1">
      <alignment horizontal="center" vertical="center" wrapText="1"/>
    </xf>
    <xf numFmtId="165" fontId="3" fillId="29" borderId="2" xfId="0" applyNumberFormat="1" applyFont="1" applyFill="1" applyBorder="1" applyAlignment="1">
      <alignment horizontal="center" vertical="center"/>
    </xf>
    <xf numFmtId="10" fontId="3" fillId="29" borderId="2" xfId="0" applyNumberFormat="1" applyFont="1" applyFill="1" applyBorder="1" applyAlignment="1">
      <alignment horizontal="center" vertical="center"/>
    </xf>
    <xf numFmtId="0" fontId="3" fillId="30" borderId="2" xfId="0" applyFont="1" applyFill="1" applyBorder="1" applyAlignment="1">
      <alignment vertical="center"/>
    </xf>
    <xf numFmtId="0" fontId="3" fillId="30" borderId="2" xfId="0" applyFont="1" applyFill="1" applyBorder="1" applyAlignment="1">
      <alignment horizontal="center" vertical="center"/>
    </xf>
    <xf numFmtId="3" fontId="3" fillId="31" borderId="2" xfId="0" applyNumberFormat="1" applyFont="1" applyFill="1" applyBorder="1" applyAlignment="1">
      <alignment horizontal="right" vertical="center"/>
    </xf>
    <xf numFmtId="10" fontId="3" fillId="31" borderId="2" xfId="0" applyNumberFormat="1" applyFont="1" applyFill="1" applyBorder="1" applyAlignment="1">
      <alignment horizontal="center" vertical="center" wrapText="1"/>
    </xf>
    <xf numFmtId="0" fontId="3" fillId="31" borderId="2" xfId="0" applyFont="1" applyFill="1" applyBorder="1" applyAlignment="1">
      <alignment horizontal="center" vertical="center" wrapText="1"/>
    </xf>
    <xf numFmtId="165" fontId="3" fillId="31" borderId="2" xfId="0" applyNumberFormat="1" applyFont="1" applyFill="1" applyBorder="1" applyAlignment="1">
      <alignment horizontal="center" vertical="center" wrapText="1"/>
    </xf>
    <xf numFmtId="165" fontId="3" fillId="31" borderId="2" xfId="0" applyNumberFormat="1" applyFont="1" applyFill="1" applyBorder="1" applyAlignment="1">
      <alignment horizontal="center" vertical="center"/>
    </xf>
    <xf numFmtId="10" fontId="3" fillId="31" borderId="2" xfId="0" applyNumberFormat="1" applyFont="1" applyFill="1" applyBorder="1" applyAlignment="1">
      <alignment horizontal="center" vertical="center"/>
    </xf>
    <xf numFmtId="0" fontId="3" fillId="32" borderId="2" xfId="0" applyFont="1" applyFill="1" applyBorder="1" applyAlignment="1">
      <alignment vertical="center"/>
    </xf>
    <xf numFmtId="0" fontId="3" fillId="32" borderId="2" xfId="0" applyFont="1" applyFill="1" applyBorder="1" applyAlignment="1">
      <alignment horizontal="center" vertical="center"/>
    </xf>
    <xf numFmtId="3" fontId="3" fillId="32" borderId="2" xfId="0" applyNumberFormat="1" applyFont="1" applyFill="1" applyBorder="1" applyAlignment="1">
      <alignment horizontal="right" vertical="center"/>
    </xf>
    <xf numFmtId="10" fontId="3" fillId="32" borderId="2" xfId="0" applyNumberFormat="1" applyFont="1" applyFill="1" applyBorder="1" applyAlignment="1">
      <alignment horizontal="center" vertical="center" wrapText="1"/>
    </xf>
    <xf numFmtId="0" fontId="3" fillId="32" borderId="2" xfId="0" applyFont="1" applyFill="1" applyBorder="1" applyAlignment="1">
      <alignment horizontal="center" vertical="center" wrapText="1"/>
    </xf>
    <xf numFmtId="165" fontId="3" fillId="32" borderId="2" xfId="0" applyNumberFormat="1" applyFont="1" applyFill="1" applyBorder="1" applyAlignment="1">
      <alignment horizontal="center" vertical="center" wrapText="1"/>
    </xf>
    <xf numFmtId="165" fontId="3" fillId="32" borderId="2" xfId="0" applyNumberFormat="1" applyFont="1" applyFill="1" applyBorder="1" applyAlignment="1">
      <alignment horizontal="center" vertical="center"/>
    </xf>
    <xf numFmtId="10" fontId="3" fillId="32" borderId="2" xfId="0" applyNumberFormat="1" applyFont="1" applyFill="1" applyBorder="1" applyAlignment="1">
      <alignment horizontal="center" vertical="center"/>
    </xf>
    <xf numFmtId="0" fontId="3" fillId="33" borderId="2" xfId="0" applyFont="1" applyFill="1" applyBorder="1" applyAlignment="1">
      <alignment vertical="center"/>
    </xf>
    <xf numFmtId="0" fontId="3" fillId="33" borderId="2" xfId="0" applyFont="1" applyFill="1" applyBorder="1" applyAlignment="1">
      <alignment horizontal="center" vertical="center"/>
    </xf>
    <xf numFmtId="3" fontId="3" fillId="33" borderId="2" xfId="0" applyNumberFormat="1" applyFont="1" applyFill="1" applyBorder="1" applyAlignment="1">
      <alignment horizontal="right" vertical="center"/>
    </xf>
    <xf numFmtId="10" fontId="3" fillId="33" borderId="2" xfId="0" applyNumberFormat="1" applyFont="1" applyFill="1" applyBorder="1" applyAlignment="1">
      <alignment horizontal="center" vertical="center" wrapText="1"/>
    </xf>
    <xf numFmtId="0" fontId="3" fillId="33" borderId="2" xfId="0" applyFont="1" applyFill="1" applyBorder="1" applyAlignment="1">
      <alignment horizontal="center" vertical="center" wrapText="1"/>
    </xf>
    <xf numFmtId="165" fontId="3" fillId="33" borderId="2" xfId="0" applyNumberFormat="1" applyFont="1" applyFill="1" applyBorder="1" applyAlignment="1">
      <alignment horizontal="center" vertical="center" wrapText="1"/>
    </xf>
    <xf numFmtId="165" fontId="3" fillId="33" borderId="2" xfId="0" applyNumberFormat="1" applyFont="1" applyFill="1" applyBorder="1" applyAlignment="1">
      <alignment horizontal="center" vertical="center"/>
    </xf>
    <xf numFmtId="41" fontId="3" fillId="33" borderId="2" xfId="0" applyNumberFormat="1" applyFont="1" applyFill="1" applyBorder="1" applyAlignment="1">
      <alignment horizontal="center" vertical="center"/>
    </xf>
    <xf numFmtId="10" fontId="3" fillId="33" borderId="2" xfId="0" applyNumberFormat="1" applyFont="1" applyFill="1" applyBorder="1" applyAlignment="1">
      <alignment horizontal="center" vertical="center"/>
    </xf>
    <xf numFmtId="167" fontId="3" fillId="0" borderId="2" xfId="0" applyNumberFormat="1" applyFont="1" applyFill="1" applyBorder="1" applyAlignment="1">
      <alignment vertical="center"/>
    </xf>
    <xf numFmtId="167" fontId="3" fillId="0" borderId="2" xfId="0" applyNumberFormat="1" applyFont="1" applyFill="1" applyBorder="1" applyAlignment="1">
      <alignment horizontal="center" vertical="center"/>
    </xf>
    <xf numFmtId="3" fontId="3" fillId="0" borderId="2" xfId="69" applyNumberFormat="1" applyFont="1" applyFill="1" applyBorder="1" applyAlignment="1">
      <alignment horizontal="right" vertical="center"/>
    </xf>
    <xf numFmtId="167" fontId="3" fillId="0" borderId="2" xfId="0" applyNumberFormat="1" applyFont="1" applyFill="1" applyBorder="1" applyAlignment="1">
      <alignment horizontal="center" vertical="center" wrapText="1"/>
    </xf>
    <xf numFmtId="165" fontId="3" fillId="0" borderId="2" xfId="68" applyNumberFormat="1" applyFont="1" applyFill="1" applyBorder="1" applyAlignment="1">
      <alignment horizontal="center" vertical="center" wrapText="1"/>
    </xf>
    <xf numFmtId="10" fontId="3" fillId="0" borderId="2" xfId="68" applyNumberFormat="1" applyFont="1" applyFill="1" applyBorder="1" applyAlignment="1">
      <alignment horizontal="center" vertical="center"/>
    </xf>
    <xf numFmtId="0" fontId="3" fillId="0" borderId="2" xfId="0" applyFont="1" applyFill="1" applyBorder="1" applyAlignment="1">
      <alignment vertical="center" wrapText="1"/>
    </xf>
    <xf numFmtId="3" fontId="3" fillId="0" borderId="2" xfId="0" applyNumberFormat="1" applyFont="1" applyFill="1" applyBorder="1" applyAlignment="1">
      <alignment horizontal="right" vertical="center" wrapText="1"/>
    </xf>
    <xf numFmtId="9" fontId="3" fillId="0" borderId="2" xfId="0" applyNumberFormat="1" applyFont="1" applyFill="1" applyBorder="1" applyAlignment="1">
      <alignment horizontal="center" vertical="center" wrapText="1"/>
    </xf>
    <xf numFmtId="172" fontId="3" fillId="0" borderId="2" xfId="69" applyNumberFormat="1" applyFont="1" applyFill="1" applyBorder="1" applyAlignment="1">
      <alignment horizontal="center" vertical="center" wrapText="1"/>
    </xf>
    <xf numFmtId="3" fontId="3" fillId="0" borderId="2" xfId="69" applyNumberFormat="1" applyFont="1" applyFill="1" applyBorder="1" applyAlignment="1">
      <alignment horizontal="right" vertical="center" wrapText="1"/>
    </xf>
    <xf numFmtId="167" fontId="3" fillId="0" borderId="2" xfId="69" applyNumberFormat="1" applyFont="1" applyBorder="1" applyAlignment="1">
      <alignment horizontal="center" vertical="center"/>
    </xf>
    <xf numFmtId="10" fontId="3" fillId="0" borderId="2" xfId="68" applyNumberFormat="1" applyFont="1" applyFill="1" applyBorder="1" applyAlignment="1">
      <alignment horizontal="center" vertical="center" wrapText="1"/>
    </xf>
    <xf numFmtId="10" fontId="3" fillId="0" borderId="2" xfId="75" applyNumberFormat="1" applyFont="1" applyFill="1" applyBorder="1" applyAlignment="1">
      <alignment horizontal="center" vertical="center" wrapText="1"/>
    </xf>
    <xf numFmtId="1" fontId="3" fillId="0" borderId="2" xfId="0" applyNumberFormat="1" applyFont="1" applyBorder="1" applyAlignment="1">
      <alignment horizontal="center" vertical="center" wrapText="1"/>
    </xf>
    <xf numFmtId="3" fontId="3" fillId="0" borderId="2" xfId="70" applyNumberFormat="1" applyFont="1" applyBorder="1" applyAlignment="1">
      <alignment horizontal="right" vertical="center"/>
    </xf>
    <xf numFmtId="3" fontId="3" fillId="35" borderId="2" xfId="70" applyNumberFormat="1" applyFont="1" applyFill="1" applyBorder="1" applyAlignment="1">
      <alignment horizontal="right" vertical="center"/>
    </xf>
    <xf numFmtId="10" fontId="3" fillId="0" borderId="2" xfId="70" applyNumberFormat="1" applyFont="1" applyBorder="1" applyAlignment="1">
      <alignment horizontal="center" vertical="center"/>
    </xf>
    <xf numFmtId="3" fontId="3" fillId="0" borderId="2" xfId="70" applyNumberFormat="1" applyFont="1" applyFill="1" applyBorder="1" applyAlignment="1">
      <alignment horizontal="right" vertical="center"/>
    </xf>
    <xf numFmtId="10" fontId="3" fillId="0" borderId="2" xfId="70" applyNumberFormat="1" applyFont="1" applyFill="1" applyBorder="1" applyAlignment="1">
      <alignment horizontal="center" vertical="center"/>
    </xf>
    <xf numFmtId="174" fontId="3" fillId="0" borderId="2" xfId="69" applyNumberFormat="1" applyFont="1" applyBorder="1" applyAlignment="1">
      <alignment horizontal="center" vertical="center" wrapText="1"/>
    </xf>
    <xf numFmtId="171" fontId="3" fillId="0" borderId="2" xfId="68" applyNumberFormat="1" applyFont="1" applyBorder="1" applyAlignment="1">
      <alignment horizontal="center" vertical="center" wrapText="1"/>
    </xf>
    <xf numFmtId="3" fontId="3" fillId="0" borderId="0" xfId="0" applyNumberFormat="1" applyFont="1" applyAlignment="1">
      <alignment horizontal="right" vertical="center"/>
    </xf>
    <xf numFmtId="0" fontId="3" fillId="15" borderId="5" xfId="0" applyFont="1" applyFill="1" applyBorder="1" applyAlignment="1">
      <alignment horizontal="center" vertical="center"/>
    </xf>
    <xf numFmtId="0" fontId="3" fillId="15" borderId="2" xfId="0" applyFont="1" applyFill="1" applyBorder="1" applyAlignment="1">
      <alignment horizontal="center" vertical="center"/>
    </xf>
    <xf numFmtId="0" fontId="3" fillId="15" borderId="2" xfId="66" applyFont="1" applyFill="1" applyBorder="1" applyAlignment="1">
      <alignment horizontal="center" vertical="center" wrapText="1"/>
    </xf>
    <xf numFmtId="10" fontId="3" fillId="15" borderId="2" xfId="66" applyNumberFormat="1" applyFont="1" applyFill="1" applyBorder="1" applyAlignment="1">
      <alignment horizontal="center" vertical="center" wrapText="1"/>
    </xf>
    <xf numFmtId="10" fontId="3" fillId="15" borderId="1" xfId="66" applyNumberFormat="1" applyFont="1" applyFill="1" applyBorder="1" applyAlignment="1">
      <alignment horizontal="center" vertical="center" wrapText="1"/>
    </xf>
    <xf numFmtId="3" fontId="3" fillId="15" borderId="2" xfId="66" applyNumberFormat="1" applyFont="1" applyFill="1" applyBorder="1" applyAlignment="1">
      <alignment horizontal="center" vertical="center" wrapText="1"/>
    </xf>
    <xf numFmtId="3" fontId="3" fillId="35" borderId="2" xfId="66" applyNumberFormat="1" applyFont="1" applyFill="1" applyBorder="1" applyAlignment="1">
      <alignment horizontal="center" vertical="center" wrapText="1"/>
    </xf>
    <xf numFmtId="0" fontId="3" fillId="21" borderId="2" xfId="74" applyFont="1" applyFill="1" applyBorder="1" applyAlignment="1">
      <alignment horizontal="center" vertical="center"/>
    </xf>
    <xf numFmtId="0" fontId="3" fillId="23" borderId="2" xfId="74" applyFont="1" applyFill="1" applyBorder="1" applyAlignment="1">
      <alignment horizontal="center" vertical="center"/>
    </xf>
    <xf numFmtId="0" fontId="3" fillId="36" borderId="2" xfId="74" applyFont="1" applyFill="1" applyBorder="1" applyAlignment="1">
      <alignment horizontal="center" vertical="center"/>
    </xf>
    <xf numFmtId="3" fontId="3" fillId="36" borderId="2" xfId="0" applyNumberFormat="1" applyFont="1" applyFill="1" applyBorder="1" applyAlignment="1">
      <alignment horizontal="right" vertical="center"/>
    </xf>
    <xf numFmtId="0" fontId="3" fillId="36" borderId="2" xfId="0" applyFont="1" applyFill="1" applyBorder="1" applyAlignment="1">
      <alignment horizontal="center" vertical="center"/>
    </xf>
    <xf numFmtId="0" fontId="3" fillId="37" borderId="2" xfId="74" applyFont="1" applyFill="1" applyBorder="1" applyAlignment="1">
      <alignment horizontal="center" vertical="center"/>
    </xf>
    <xf numFmtId="3" fontId="3" fillId="37" borderId="2" xfId="0" applyNumberFormat="1" applyFont="1" applyFill="1" applyBorder="1" applyAlignment="1">
      <alignment horizontal="right" vertical="center"/>
    </xf>
    <xf numFmtId="0" fontId="3" fillId="37" borderId="2" xfId="0" applyFont="1" applyFill="1" applyBorder="1" applyAlignment="1">
      <alignment horizontal="center" vertical="center"/>
    </xf>
    <xf numFmtId="0" fontId="3" fillId="38" borderId="2" xfId="74" applyFont="1" applyFill="1" applyBorder="1" applyAlignment="1">
      <alignment horizontal="center" vertical="center"/>
    </xf>
    <xf numFmtId="3" fontId="3" fillId="38" borderId="2" xfId="0" applyNumberFormat="1" applyFont="1" applyFill="1" applyBorder="1" applyAlignment="1">
      <alignment horizontal="right" vertical="center"/>
    </xf>
    <xf numFmtId="0" fontId="3" fillId="38" borderId="2" xfId="0" applyFont="1" applyFill="1" applyBorder="1" applyAlignment="1">
      <alignment horizontal="center" vertical="center"/>
    </xf>
    <xf numFmtId="0" fontId="3" fillId="39" borderId="2" xfId="74" applyFont="1" applyFill="1" applyBorder="1" applyAlignment="1">
      <alignment horizontal="center" vertical="center"/>
    </xf>
    <xf numFmtId="0" fontId="3" fillId="39" borderId="2" xfId="0" applyFont="1" applyFill="1" applyBorder="1" applyAlignment="1">
      <alignment horizontal="center" vertical="center"/>
    </xf>
    <xf numFmtId="3" fontId="3" fillId="39" borderId="2" xfId="0" applyNumberFormat="1" applyFont="1" applyFill="1" applyBorder="1" applyAlignment="1">
      <alignment horizontal="right" vertical="center"/>
    </xf>
    <xf numFmtId="10" fontId="3" fillId="36" borderId="2" xfId="0" applyNumberFormat="1" applyFont="1" applyFill="1" applyBorder="1" applyAlignment="1">
      <alignment horizontal="center" vertical="center" wrapText="1"/>
    </xf>
    <xf numFmtId="10" fontId="3" fillId="36" borderId="2" xfId="0" applyNumberFormat="1" applyFont="1" applyFill="1" applyBorder="1" applyAlignment="1">
      <alignment horizontal="center" vertical="center"/>
    </xf>
    <xf numFmtId="168" fontId="3" fillId="0" borderId="2" xfId="0" applyNumberFormat="1" applyFont="1" applyBorder="1" applyAlignment="1">
      <alignment horizontal="center" vertical="center" wrapText="1"/>
    </xf>
    <xf numFmtId="168" fontId="3" fillId="0" borderId="2" xfId="0" applyNumberFormat="1" applyFont="1" applyFill="1" applyBorder="1" applyAlignment="1">
      <alignment horizontal="center" vertical="center" wrapText="1"/>
    </xf>
    <xf numFmtId="0" fontId="3" fillId="36" borderId="2" xfId="0" applyFont="1" applyFill="1" applyBorder="1" applyAlignment="1">
      <alignment vertical="center"/>
    </xf>
    <xf numFmtId="165" fontId="3" fillId="0" borderId="2" xfId="0" applyNumberFormat="1" applyFont="1" applyFill="1" applyBorder="1" applyAlignment="1">
      <alignment horizontal="center" vertical="center" wrapText="1"/>
    </xf>
    <xf numFmtId="165" fontId="3" fillId="0" borderId="2" xfId="0" applyNumberFormat="1" applyFont="1" applyFill="1" applyBorder="1" applyAlignment="1">
      <alignment horizontal="center" vertical="center"/>
    </xf>
    <xf numFmtId="3" fontId="3" fillId="0" borderId="2" xfId="69" applyNumberFormat="1" applyFont="1" applyFill="1" applyBorder="1" applyAlignment="1" applyProtection="1">
      <alignment horizontal="right" vertical="center"/>
    </xf>
    <xf numFmtId="49" fontId="3" fillId="0" borderId="2" xfId="0" applyNumberFormat="1" applyFont="1" applyBorder="1" applyAlignment="1">
      <alignment vertical="center"/>
    </xf>
    <xf numFmtId="49" fontId="3" fillId="0" borderId="2" xfId="0" applyNumberFormat="1" applyFont="1" applyFill="1" applyBorder="1" applyAlignment="1">
      <alignment horizontal="center" vertical="center"/>
    </xf>
    <xf numFmtId="3" fontId="3" fillId="0" borderId="2" xfId="0" applyNumberFormat="1" applyFont="1" applyBorder="1" applyAlignment="1">
      <alignment horizontal="right" vertical="center" wrapText="1"/>
    </xf>
    <xf numFmtId="3" fontId="3" fillId="35" borderId="2" xfId="0" applyNumberFormat="1" applyFont="1" applyFill="1" applyBorder="1" applyAlignment="1">
      <alignment horizontal="right" vertical="center" wrapText="1"/>
    </xf>
    <xf numFmtId="0" fontId="3" fillId="0" borderId="2" xfId="75" applyFont="1" applyFill="1" applyBorder="1" applyAlignment="1">
      <alignment horizontal="center" vertical="center"/>
    </xf>
    <xf numFmtId="0" fontId="3" fillId="23" borderId="2" xfId="74" applyFont="1" applyFill="1" applyBorder="1" applyAlignment="1">
      <alignment vertical="center"/>
    </xf>
    <xf numFmtId="10" fontId="3" fillId="23" borderId="2" xfId="75" applyNumberFormat="1" applyFont="1" applyFill="1" applyBorder="1" applyAlignment="1">
      <alignment horizontal="center" vertical="center" wrapText="1"/>
    </xf>
    <xf numFmtId="0" fontId="3" fillId="23" borderId="2" xfId="75" applyFont="1" applyFill="1" applyBorder="1" applyAlignment="1">
      <alignment horizontal="center" vertical="center"/>
    </xf>
    <xf numFmtId="0" fontId="3" fillId="38" borderId="2" xfId="74" applyFont="1" applyFill="1" applyBorder="1" applyAlignment="1">
      <alignment vertical="center"/>
    </xf>
    <xf numFmtId="10" fontId="3" fillId="38" borderId="2" xfId="75" applyNumberFormat="1" applyFont="1" applyFill="1" applyBorder="1" applyAlignment="1">
      <alignment horizontal="center" vertical="center" wrapText="1"/>
    </xf>
    <xf numFmtId="0" fontId="3" fillId="38" borderId="2" xfId="75" applyFont="1" applyFill="1" applyBorder="1" applyAlignment="1">
      <alignment horizontal="center" vertical="center"/>
    </xf>
    <xf numFmtId="0" fontId="3" fillId="38" borderId="2" xfId="0" applyFont="1" applyFill="1" applyBorder="1" applyAlignment="1">
      <alignment vertical="center"/>
    </xf>
    <xf numFmtId="0" fontId="3" fillId="39" borderId="2" xfId="74" applyFont="1" applyFill="1" applyBorder="1" applyAlignment="1">
      <alignment vertical="center"/>
    </xf>
    <xf numFmtId="10" fontId="3" fillId="39" borderId="2" xfId="75" applyNumberFormat="1" applyFont="1" applyFill="1" applyBorder="1" applyAlignment="1">
      <alignment horizontal="center" vertical="center" wrapText="1"/>
    </xf>
    <xf numFmtId="0" fontId="3" fillId="39" borderId="2" xfId="75" applyFont="1" applyFill="1" applyBorder="1" applyAlignment="1">
      <alignment horizontal="center" vertical="center"/>
    </xf>
    <xf numFmtId="0" fontId="3" fillId="39" borderId="2" xfId="0" applyFont="1" applyFill="1" applyBorder="1" applyAlignment="1">
      <alignment vertical="center"/>
    </xf>
    <xf numFmtId="0" fontId="3" fillId="21" borderId="2" xfId="74" applyFont="1" applyFill="1" applyBorder="1" applyAlignment="1">
      <alignment vertical="center"/>
    </xf>
    <xf numFmtId="10" fontId="3" fillId="21" borderId="2" xfId="75" applyNumberFormat="1" applyFont="1" applyFill="1" applyBorder="1" applyAlignment="1">
      <alignment horizontal="center" vertical="center" wrapText="1"/>
    </xf>
    <xf numFmtId="0" fontId="3" fillId="21" borderId="2" xfId="75" applyFont="1" applyFill="1" applyBorder="1" applyAlignment="1">
      <alignment horizontal="center" vertical="center"/>
    </xf>
    <xf numFmtId="0" fontId="3" fillId="37" borderId="2" xfId="74" applyFont="1" applyFill="1" applyBorder="1" applyAlignment="1">
      <alignment vertical="center"/>
    </xf>
    <xf numFmtId="10" fontId="3" fillId="37" borderId="2" xfId="75" applyNumberFormat="1" applyFont="1" applyFill="1" applyBorder="1" applyAlignment="1">
      <alignment horizontal="center" vertical="center" wrapText="1"/>
    </xf>
    <xf numFmtId="0" fontId="3" fillId="37" borderId="2" xfId="75" applyFont="1" applyFill="1" applyBorder="1" applyAlignment="1">
      <alignment horizontal="center" vertical="center"/>
    </xf>
    <xf numFmtId="0" fontId="3" fillId="37" borderId="2" xfId="0" applyFont="1" applyFill="1" applyBorder="1" applyAlignment="1">
      <alignment vertical="center"/>
    </xf>
    <xf numFmtId="0" fontId="3" fillId="36" borderId="2" xfId="74" applyFont="1" applyFill="1" applyBorder="1" applyAlignment="1">
      <alignment vertical="center"/>
    </xf>
    <xf numFmtId="10" fontId="3" fillId="36" borderId="2" xfId="75" applyNumberFormat="1" applyFont="1" applyFill="1" applyBorder="1" applyAlignment="1">
      <alignment horizontal="center" vertical="center" wrapText="1"/>
    </xf>
    <xf numFmtId="0" fontId="3" fillId="36" borderId="2" xfId="75" applyFont="1" applyFill="1" applyBorder="1" applyAlignment="1">
      <alignment horizontal="center" vertical="center"/>
    </xf>
    <xf numFmtId="3" fontId="3" fillId="0" borderId="2" xfId="69" applyNumberFormat="1" applyFont="1" applyBorder="1" applyAlignment="1">
      <alignment horizontal="right" vertical="center" wrapText="1"/>
    </xf>
    <xf numFmtId="4" fontId="3" fillId="0" borderId="2" xfId="0" applyNumberFormat="1" applyFont="1" applyBorder="1" applyAlignment="1">
      <alignment horizontal="center" vertical="center" wrapText="1"/>
    </xf>
    <xf numFmtId="3" fontId="3" fillId="16" borderId="2" xfId="69" applyNumberFormat="1" applyFont="1" applyFill="1" applyBorder="1" applyAlignment="1">
      <alignment horizontal="right" vertical="center"/>
    </xf>
    <xf numFmtId="3" fontId="3" fillId="40" borderId="2" xfId="0" applyNumberFormat="1" applyFont="1" applyFill="1" applyBorder="1" applyAlignment="1">
      <alignment horizontal="right" vertical="center"/>
    </xf>
    <xf numFmtId="3" fontId="3" fillId="40" borderId="2" xfId="69" applyNumberFormat="1" applyFont="1" applyFill="1" applyBorder="1" applyAlignment="1">
      <alignment horizontal="right" vertical="center"/>
    </xf>
    <xf numFmtId="3" fontId="3" fillId="40" borderId="2" xfId="71" applyNumberFormat="1" applyFont="1" applyFill="1" applyBorder="1" applyAlignment="1">
      <alignment horizontal="right" vertical="center"/>
    </xf>
    <xf numFmtId="3" fontId="3" fillId="40" borderId="2" xfId="0" applyNumberFormat="1" applyFont="1" applyFill="1" applyBorder="1" applyAlignment="1">
      <alignment horizontal="right" vertical="center" wrapText="1"/>
    </xf>
    <xf numFmtId="3" fontId="3" fillId="40" borderId="2" xfId="70" applyNumberFormat="1" applyFont="1" applyFill="1" applyBorder="1" applyAlignment="1">
      <alignment horizontal="right" vertical="center"/>
    </xf>
    <xf numFmtId="3" fontId="3" fillId="40" borderId="2" xfId="69" applyNumberFormat="1" applyFont="1" applyFill="1" applyBorder="1" applyAlignment="1">
      <alignment horizontal="right" vertical="center" wrapText="1"/>
    </xf>
    <xf numFmtId="3" fontId="38" fillId="40" borderId="2" xfId="0" applyNumberFormat="1" applyFont="1" applyFill="1" applyBorder="1" applyAlignment="1">
      <alignment horizontal="right" vertical="center"/>
    </xf>
    <xf numFmtId="3" fontId="38" fillId="40" borderId="2" xfId="69" applyNumberFormat="1" applyFont="1" applyFill="1" applyBorder="1" applyAlignment="1">
      <alignment horizontal="right" vertical="center"/>
    </xf>
    <xf numFmtId="0" fontId="38" fillId="0" borderId="2" xfId="0" applyFont="1" applyFill="1" applyBorder="1" applyAlignment="1">
      <alignment horizontal="center" vertical="center" wrapText="1"/>
    </xf>
    <xf numFmtId="3" fontId="3" fillId="16" borderId="2" xfId="0" applyNumberFormat="1" applyFont="1" applyFill="1" applyBorder="1" applyAlignment="1">
      <alignment horizontal="center" vertical="center"/>
    </xf>
    <xf numFmtId="3" fontId="3" fillId="16" borderId="23" xfId="0" applyNumberFormat="1" applyFont="1" applyFill="1" applyBorder="1" applyAlignment="1">
      <alignment horizontal="center" vertical="center"/>
    </xf>
    <xf numFmtId="3" fontId="3" fillId="35" borderId="1" xfId="69" applyNumberFormat="1" applyFont="1" applyFill="1" applyBorder="1" applyAlignment="1">
      <alignment horizontal="right" vertical="center"/>
    </xf>
    <xf numFmtId="0" fontId="3" fillId="0" borderId="19" xfId="77" applyFont="1" applyFill="1" applyBorder="1" applyAlignment="1">
      <alignment horizontal="left" vertical="center" wrapText="1"/>
    </xf>
    <xf numFmtId="0" fontId="3" fillId="0" borderId="20" xfId="77" applyFont="1" applyFill="1" applyBorder="1" applyAlignment="1">
      <alignment horizontal="left" vertical="center" wrapText="1"/>
    </xf>
    <xf numFmtId="165" fontId="9" fillId="0" borderId="2" xfId="0" applyNumberFormat="1" applyFont="1" applyFill="1" applyBorder="1" applyAlignment="1">
      <alignment horizontal="center" vertical="center" wrapText="1"/>
    </xf>
    <xf numFmtId="0" fontId="3" fillId="0" borderId="21" xfId="77" applyFont="1" applyFill="1" applyBorder="1" applyAlignment="1">
      <alignment horizontal="left" vertical="center" wrapText="1"/>
    </xf>
    <xf numFmtId="0" fontId="3" fillId="0" borderId="11" xfId="77" applyFont="1" applyFill="1" applyBorder="1" applyAlignment="1">
      <alignment horizontal="left" vertical="center" wrapText="1"/>
    </xf>
    <xf numFmtId="10" fontId="9" fillId="0" borderId="1" xfId="0" applyNumberFormat="1" applyFont="1" applyFill="1" applyBorder="1" applyAlignment="1">
      <alignment horizontal="center" vertical="center" wrapText="1"/>
    </xf>
    <xf numFmtId="165" fontId="9" fillId="0" borderId="2" xfId="0" applyNumberFormat="1" applyFont="1" applyFill="1" applyBorder="1" applyAlignment="1">
      <alignment horizontal="center" vertical="center"/>
    </xf>
    <xf numFmtId="0" fontId="27" fillId="16" borderId="2" xfId="78" applyFont="1" applyFill="1" applyBorder="1" applyAlignment="1">
      <alignment horizontal="center" vertical="center" wrapText="1"/>
    </xf>
    <xf numFmtId="0" fontId="27" fillId="0" borderId="2" xfId="0" applyFont="1" applyBorder="1" applyAlignment="1">
      <alignment horizontal="center" vertical="center" wrapText="1"/>
    </xf>
    <xf numFmtId="0" fontId="27" fillId="0" borderId="2" xfId="78" applyFont="1" applyBorder="1" applyAlignment="1">
      <alignment horizontal="center" vertical="center" wrapText="1"/>
    </xf>
    <xf numFmtId="175" fontId="3" fillId="0" borderId="2" xfId="0" applyNumberFormat="1" applyFont="1" applyFill="1" applyBorder="1" applyAlignment="1">
      <alignment horizontal="center" vertical="center"/>
    </xf>
    <xf numFmtId="175" fontId="9" fillId="0" borderId="2" xfId="0" applyNumberFormat="1" applyFont="1" applyFill="1" applyBorder="1" applyAlignment="1">
      <alignment horizontal="center" vertical="center"/>
    </xf>
    <xf numFmtId="0" fontId="3" fillId="0" borderId="22" xfId="77" applyFont="1" applyFill="1" applyBorder="1" applyAlignment="1">
      <alignment horizontal="left" vertical="center" wrapText="1"/>
    </xf>
    <xf numFmtId="3" fontId="3" fillId="0" borderId="23" xfId="0" applyNumberFormat="1" applyFont="1" applyFill="1" applyBorder="1" applyAlignment="1">
      <alignment horizontal="right" vertical="center"/>
    </xf>
    <xf numFmtId="10" fontId="3" fillId="0" borderId="23" xfId="0" applyNumberFormat="1" applyFont="1" applyFill="1" applyBorder="1" applyAlignment="1">
      <alignment horizontal="center" vertical="center" wrapText="1"/>
    </xf>
    <xf numFmtId="176" fontId="3" fillId="0" borderId="1" xfId="69" applyNumberFormat="1" applyFont="1" applyFill="1" applyBorder="1" applyAlignment="1">
      <alignment horizontal="right" vertical="center"/>
    </xf>
    <xf numFmtId="3" fontId="3" fillId="0" borderId="2" xfId="69" applyNumberFormat="1" applyFont="1" applyBorder="1" applyAlignment="1">
      <alignment vertical="center"/>
    </xf>
    <xf numFmtId="3" fontId="9" fillId="40" borderId="2" xfId="69" applyNumberFormat="1" applyFont="1" applyFill="1" applyBorder="1" applyAlignment="1">
      <alignment horizontal="right" vertical="center"/>
    </xf>
    <xf numFmtId="3" fontId="3" fillId="16" borderId="1" xfId="69" applyNumberFormat="1" applyFont="1" applyFill="1" applyBorder="1" applyAlignment="1">
      <alignment horizontal="right" vertical="center"/>
    </xf>
    <xf numFmtId="3" fontId="3" fillId="40" borderId="1" xfId="69" applyNumberFormat="1" applyFont="1" applyFill="1" applyBorder="1" applyAlignment="1">
      <alignment horizontal="right" vertical="center"/>
    </xf>
    <xf numFmtId="3" fontId="3" fillId="0" borderId="1" xfId="69" applyNumberFormat="1" applyFont="1" applyFill="1" applyBorder="1" applyAlignment="1">
      <alignment horizontal="right" vertical="center"/>
    </xf>
    <xf numFmtId="3" fontId="9" fillId="16" borderId="2" xfId="69" applyNumberFormat="1" applyFont="1" applyFill="1" applyBorder="1" applyAlignment="1">
      <alignment horizontal="right" vertical="center"/>
    </xf>
    <xf numFmtId="3" fontId="9" fillId="0" borderId="1" xfId="69" applyNumberFormat="1" applyFont="1" applyFill="1" applyBorder="1" applyAlignment="1">
      <alignment horizontal="right" vertical="center"/>
    </xf>
    <xf numFmtId="3" fontId="9" fillId="40" borderId="1" xfId="69" applyNumberFormat="1" applyFont="1" applyFill="1" applyBorder="1" applyAlignment="1">
      <alignment horizontal="right" vertical="center"/>
    </xf>
    <xf numFmtId="3" fontId="3" fillId="0" borderId="23" xfId="69" applyNumberFormat="1" applyFont="1" applyFill="1" applyBorder="1" applyAlignment="1">
      <alignment horizontal="right" vertical="center"/>
    </xf>
    <xf numFmtId="3" fontId="3" fillId="40" borderId="23" xfId="69" applyNumberFormat="1" applyFont="1" applyFill="1" applyBorder="1" applyAlignment="1">
      <alignment horizontal="right" vertical="center"/>
    </xf>
    <xf numFmtId="176" fontId="9" fillId="0" borderId="2" xfId="69" applyNumberFormat="1" applyFont="1" applyBorder="1" applyAlignment="1">
      <alignment horizontal="right" vertical="center"/>
    </xf>
    <xf numFmtId="176" fontId="9" fillId="16" borderId="2" xfId="69" applyNumberFormat="1" applyFont="1" applyFill="1" applyBorder="1" applyAlignment="1">
      <alignment horizontal="right" vertical="center"/>
    </xf>
    <xf numFmtId="176" fontId="9" fillId="0" borderId="1" xfId="69" applyNumberFormat="1" applyFont="1" applyFill="1" applyBorder="1" applyAlignment="1">
      <alignment horizontal="right" vertical="center"/>
    </xf>
    <xf numFmtId="176" fontId="3" fillId="0" borderId="2" xfId="69" applyNumberFormat="1" applyFont="1" applyFill="1" applyBorder="1" applyAlignment="1">
      <alignment horizontal="right" vertical="center"/>
    </xf>
    <xf numFmtId="176" fontId="3" fillId="0" borderId="23" xfId="69" applyNumberFormat="1" applyFont="1" applyFill="1" applyBorder="1" applyAlignment="1">
      <alignment horizontal="right" vertical="center"/>
    </xf>
    <xf numFmtId="3" fontId="38" fillId="35" borderId="2" xfId="69" applyNumberFormat="1" applyFont="1" applyFill="1" applyBorder="1" applyAlignment="1">
      <alignment horizontal="right" vertical="center"/>
    </xf>
    <xf numFmtId="3" fontId="3" fillId="35" borderId="2" xfId="69" applyNumberFormat="1" applyFont="1" applyFill="1" applyBorder="1" applyAlignment="1" applyProtection="1">
      <alignment horizontal="right" vertical="center"/>
      <protection locked="0"/>
    </xf>
    <xf numFmtId="10" fontId="3" fillId="0" borderId="1" xfId="69" applyNumberFormat="1" applyFont="1" applyFill="1" applyBorder="1" applyAlignment="1">
      <alignment horizontal="center" vertical="center"/>
    </xf>
    <xf numFmtId="10" fontId="3" fillId="0" borderId="2" xfId="69" applyNumberFormat="1" applyFont="1" applyBorder="1" applyAlignment="1">
      <alignment horizontal="center" vertical="center"/>
    </xf>
    <xf numFmtId="10" fontId="3" fillId="0" borderId="2" xfId="69" applyNumberFormat="1" applyFont="1" applyFill="1" applyBorder="1" applyAlignment="1">
      <alignment horizontal="center" vertical="center" wrapText="1"/>
    </xf>
    <xf numFmtId="10" fontId="3" fillId="35" borderId="2" xfId="68" applyNumberFormat="1" applyFont="1" applyFill="1" applyBorder="1" applyAlignment="1">
      <alignment horizontal="center" vertical="center"/>
    </xf>
    <xf numFmtId="10" fontId="3" fillId="35" borderId="2" xfId="0" applyNumberFormat="1" applyFont="1" applyFill="1" applyBorder="1" applyAlignment="1">
      <alignment horizontal="center" vertical="center"/>
    </xf>
    <xf numFmtId="10" fontId="3" fillId="35" borderId="23" xfId="68" applyNumberFormat="1" applyFont="1" applyFill="1" applyBorder="1" applyAlignment="1">
      <alignment horizontal="center" vertical="center"/>
    </xf>
    <xf numFmtId="10" fontId="38" fillId="35" borderId="2" xfId="0" applyNumberFormat="1" applyFont="1" applyFill="1" applyBorder="1" applyAlignment="1">
      <alignment horizontal="center" vertical="center"/>
    </xf>
    <xf numFmtId="10" fontId="3" fillId="35" borderId="2" xfId="71" applyNumberFormat="1" applyFont="1" applyFill="1" applyBorder="1" applyAlignment="1">
      <alignment horizontal="center" vertical="center"/>
    </xf>
    <xf numFmtId="10" fontId="3" fillId="35" borderId="2" xfId="0" applyNumberFormat="1" applyFont="1" applyFill="1" applyBorder="1" applyAlignment="1">
      <alignment horizontal="center" vertical="center" wrapText="1"/>
    </xf>
    <xf numFmtId="10" fontId="3" fillId="35" borderId="2" xfId="70" applyNumberFormat="1" applyFont="1" applyFill="1" applyBorder="1" applyAlignment="1">
      <alignment horizontal="center" vertical="center"/>
    </xf>
    <xf numFmtId="10" fontId="3" fillId="35" borderId="2" xfId="68" applyNumberFormat="1" applyFont="1" applyFill="1" applyBorder="1" applyAlignment="1">
      <alignment horizontal="center" vertical="center" wrapText="1"/>
    </xf>
    <xf numFmtId="10" fontId="3" fillId="0" borderId="2" xfId="68" applyNumberFormat="1" applyFont="1" applyFill="1" applyBorder="1" applyAlignment="1">
      <alignment horizontal="center" vertical="center"/>
    </xf>
    <xf numFmtId="10" fontId="3" fillId="0" borderId="2" xfId="0" applyNumberFormat="1" applyFont="1" applyFill="1" applyBorder="1" applyAlignment="1">
      <alignment horizontal="center" vertical="center"/>
    </xf>
    <xf numFmtId="10" fontId="3" fillId="0" borderId="2" xfId="70" applyNumberFormat="1" applyFont="1" applyFill="1" applyBorder="1" applyAlignment="1">
      <alignment horizontal="center" vertical="center"/>
    </xf>
    <xf numFmtId="10" fontId="3" fillId="0" borderId="2" xfId="70" applyNumberFormat="1" applyFont="1" applyBorder="1"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10" fontId="3" fillId="0" borderId="2" xfId="0" applyNumberFormat="1" applyFont="1" applyBorder="1" applyAlignment="1">
      <alignment horizontal="center" vertical="center"/>
    </xf>
    <xf numFmtId="0" fontId="3" fillId="0" borderId="2" xfId="0" applyFont="1" applyFill="1" applyBorder="1" applyAlignment="1">
      <alignment horizontal="center" vertical="center"/>
    </xf>
    <xf numFmtId="167" fontId="3" fillId="0" borderId="1" xfId="69" applyNumberFormat="1" applyFont="1" applyFill="1" applyBorder="1" applyAlignment="1">
      <alignment horizontal="center" vertical="center"/>
    </xf>
    <xf numFmtId="10" fontId="27" fillId="0" borderId="1" xfId="70" applyNumberFormat="1" applyFont="1" applyBorder="1" applyAlignment="1">
      <alignment horizontal="center" vertical="center"/>
    </xf>
    <xf numFmtId="10" fontId="27" fillId="0" borderId="4" xfId="70" applyNumberFormat="1" applyFont="1" applyBorder="1" applyAlignment="1">
      <alignment horizontal="center" vertical="center"/>
    </xf>
    <xf numFmtId="3" fontId="27" fillId="0" borderId="1" xfId="70" applyNumberFormat="1" applyFont="1" applyBorder="1" applyAlignment="1">
      <alignment horizontal="right" vertical="center"/>
    </xf>
    <xf numFmtId="3" fontId="27" fillId="0" borderId="4" xfId="70" applyNumberFormat="1" applyFont="1" applyBorder="1" applyAlignment="1">
      <alignment horizontal="right" vertical="center"/>
    </xf>
    <xf numFmtId="10" fontId="27" fillId="0" borderId="1" xfId="0" applyNumberFormat="1" applyFont="1" applyBorder="1" applyAlignment="1">
      <alignment horizontal="center" vertical="center"/>
    </xf>
    <xf numFmtId="10" fontId="27" fillId="0" borderId="4" xfId="0" applyNumberFormat="1" applyFont="1" applyBorder="1" applyAlignment="1">
      <alignment horizontal="center" vertical="center"/>
    </xf>
    <xf numFmtId="165" fontId="27" fillId="0" borderId="1" xfId="0" applyNumberFormat="1" applyFont="1" applyBorder="1" applyAlignment="1">
      <alignment horizontal="center" vertical="center"/>
    </xf>
    <xf numFmtId="165" fontId="27" fillId="0" borderId="4" xfId="0" applyNumberFormat="1" applyFont="1" applyBorder="1" applyAlignment="1">
      <alignment horizontal="center" vertical="center"/>
    </xf>
    <xf numFmtId="0" fontId="36" fillId="0" borderId="1" xfId="0" applyFont="1" applyBorder="1" applyAlignment="1">
      <alignment horizontal="center" vertical="center" wrapText="1"/>
    </xf>
    <xf numFmtId="0" fontId="36" fillId="0" borderId="4" xfId="0" applyFont="1" applyBorder="1" applyAlignment="1">
      <alignment horizontal="center" vertical="center"/>
    </xf>
    <xf numFmtId="0" fontId="27" fillId="0" borderId="1" xfId="0" applyFont="1" applyBorder="1" applyAlignment="1">
      <alignment horizontal="center" vertical="center"/>
    </xf>
    <xf numFmtId="0" fontId="27" fillId="0" borderId="4" xfId="0" applyFont="1" applyBorder="1" applyAlignment="1">
      <alignment horizontal="center" vertical="center"/>
    </xf>
    <xf numFmtId="171" fontId="27" fillId="0" borderId="1" xfId="0" applyNumberFormat="1" applyFont="1" applyBorder="1" applyAlignment="1">
      <alignment horizontal="center" vertical="center"/>
    </xf>
    <xf numFmtId="171" fontId="27" fillId="0" borderId="4" xfId="0" applyNumberFormat="1" applyFont="1" applyBorder="1" applyAlignment="1">
      <alignment horizontal="center" vertical="center"/>
    </xf>
    <xf numFmtId="10" fontId="27" fillId="0" borderId="1" xfId="0" applyNumberFormat="1" applyFont="1" applyBorder="1" applyAlignment="1">
      <alignment horizontal="center" vertical="center" wrapText="1"/>
    </xf>
    <xf numFmtId="10" fontId="27" fillId="0" borderId="4" xfId="0" applyNumberFormat="1" applyFont="1" applyBorder="1" applyAlignment="1">
      <alignment horizontal="center" vertical="center" wrapText="1"/>
    </xf>
    <xf numFmtId="3" fontId="27" fillId="0" borderId="1" xfId="0" applyNumberFormat="1" applyFont="1" applyBorder="1" applyAlignment="1">
      <alignment horizontal="right" vertical="center"/>
    </xf>
    <xf numFmtId="3" fontId="27" fillId="0" borderId="4" xfId="0" applyNumberFormat="1" applyFont="1" applyBorder="1" applyAlignment="1">
      <alignment horizontal="right" vertical="center"/>
    </xf>
    <xf numFmtId="0" fontId="9" fillId="0" borderId="1" xfId="0" applyFont="1" applyBorder="1" applyAlignment="1">
      <alignment horizontal="center" vertical="center"/>
    </xf>
    <xf numFmtId="3" fontId="27" fillId="0" borderId="1" xfId="0" applyNumberFormat="1" applyFont="1" applyFill="1" applyBorder="1" applyAlignment="1">
      <alignment horizontal="right" vertical="center"/>
    </xf>
    <xf numFmtId="3" fontId="27" fillId="0" borderId="4" xfId="0" applyNumberFormat="1" applyFont="1" applyFill="1" applyBorder="1" applyAlignment="1">
      <alignment horizontal="right" vertical="center"/>
    </xf>
    <xf numFmtId="10" fontId="27" fillId="0" borderId="1" xfId="0" applyNumberFormat="1" applyFont="1" applyFill="1" applyBorder="1" applyAlignment="1">
      <alignment horizontal="center" vertical="center"/>
    </xf>
    <xf numFmtId="10" fontId="27" fillId="0" borderId="4" xfId="0" applyNumberFormat="1" applyFont="1" applyFill="1" applyBorder="1" applyAlignment="1">
      <alignment horizontal="center" vertical="center"/>
    </xf>
    <xf numFmtId="3" fontId="27" fillId="0" borderId="1" xfId="70" applyNumberFormat="1" applyFont="1" applyFill="1" applyBorder="1" applyAlignment="1">
      <alignment horizontal="right" vertical="center"/>
    </xf>
    <xf numFmtId="3" fontId="27" fillId="0" borderId="4" xfId="70" applyNumberFormat="1" applyFont="1" applyFill="1" applyBorder="1" applyAlignment="1">
      <alignment horizontal="right" vertical="center"/>
    </xf>
    <xf numFmtId="10" fontId="27" fillId="0" borderId="1" xfId="70" applyNumberFormat="1" applyFont="1" applyFill="1" applyBorder="1" applyAlignment="1">
      <alignment horizontal="center" vertical="center"/>
    </xf>
    <xf numFmtId="10" fontId="27" fillId="0" borderId="4" xfId="70" applyNumberFormat="1" applyFont="1" applyFill="1" applyBorder="1" applyAlignment="1">
      <alignment horizontal="center" vertical="center"/>
    </xf>
    <xf numFmtId="0" fontId="36" fillId="0" borderId="3" xfId="0" applyFont="1" applyBorder="1" applyAlignment="1">
      <alignment horizontal="center" vertical="center" wrapText="1"/>
    </xf>
    <xf numFmtId="0" fontId="36" fillId="0" borderId="4" xfId="0" applyFont="1" applyBorder="1" applyAlignment="1">
      <alignment horizontal="center" vertical="center" wrapText="1"/>
    </xf>
    <xf numFmtId="10" fontId="27" fillId="0" borderId="3" xfId="70" applyNumberFormat="1" applyFont="1" applyBorder="1" applyAlignment="1">
      <alignment horizontal="center" vertical="center"/>
    </xf>
    <xf numFmtId="3" fontId="27" fillId="0" borderId="3" xfId="70" applyNumberFormat="1" applyFont="1" applyBorder="1" applyAlignment="1">
      <alignment horizontal="right" vertical="center"/>
    </xf>
    <xf numFmtId="10" fontId="27" fillId="0" borderId="3" xfId="0" applyNumberFormat="1" applyFont="1" applyBorder="1" applyAlignment="1">
      <alignment horizontal="center" vertical="center"/>
    </xf>
    <xf numFmtId="14" fontId="27" fillId="0" borderId="1" xfId="0" applyNumberFormat="1" applyFont="1" applyBorder="1" applyAlignment="1">
      <alignment horizontal="center" vertical="center"/>
    </xf>
    <xf numFmtId="0" fontId="27" fillId="0" borderId="3" xfId="0" applyFont="1" applyBorder="1" applyAlignment="1">
      <alignment horizontal="center" vertical="center"/>
    </xf>
    <xf numFmtId="171" fontId="27" fillId="0" borderId="3" xfId="0" applyNumberFormat="1" applyFont="1" applyBorder="1" applyAlignment="1">
      <alignment horizontal="center" vertical="center"/>
    </xf>
    <xf numFmtId="10" fontId="27" fillId="0" borderId="3" xfId="0" applyNumberFormat="1" applyFont="1" applyBorder="1" applyAlignment="1">
      <alignment horizontal="center" vertical="center" wrapText="1"/>
    </xf>
    <xf numFmtId="0" fontId="13" fillId="0" borderId="1" xfId="0" applyFont="1" applyBorder="1" applyAlignment="1">
      <alignment horizontal="center" vertical="center"/>
    </xf>
    <xf numFmtId="3" fontId="35" fillId="0" borderId="1" xfId="0" applyNumberFormat="1" applyFont="1" applyFill="1" applyBorder="1" applyAlignment="1">
      <alignment horizontal="right" vertical="center"/>
    </xf>
    <xf numFmtId="3" fontId="35" fillId="0" borderId="3" xfId="0" applyNumberFormat="1" applyFont="1" applyFill="1" applyBorder="1" applyAlignment="1">
      <alignment horizontal="right" vertical="center"/>
    </xf>
    <xf numFmtId="3" fontId="35" fillId="0" borderId="4" xfId="0" applyNumberFormat="1" applyFont="1" applyFill="1" applyBorder="1" applyAlignment="1">
      <alignment horizontal="right" vertical="center"/>
    </xf>
    <xf numFmtId="3" fontId="11" fillId="0" borderId="1" xfId="0" applyNumberFormat="1" applyFont="1" applyBorder="1" applyAlignment="1">
      <alignment horizontal="right" vertical="center"/>
    </xf>
    <xf numFmtId="3" fontId="11" fillId="0" borderId="3" xfId="0" applyNumberFormat="1" applyFont="1" applyBorder="1" applyAlignment="1">
      <alignment horizontal="right" vertical="center"/>
    </xf>
    <xf numFmtId="3" fontId="11" fillId="0" borderId="4" xfId="0" applyNumberFormat="1" applyFont="1" applyBorder="1" applyAlignment="1">
      <alignment horizontal="right" vertical="center"/>
    </xf>
    <xf numFmtId="0" fontId="9" fillId="0" borderId="1" xfId="0" applyFont="1" applyFill="1" applyBorder="1" applyAlignment="1">
      <alignment horizontal="center" vertical="center"/>
    </xf>
    <xf numFmtId="0" fontId="35" fillId="0" borderId="3" xfId="0" applyFont="1" applyFill="1" applyBorder="1" applyAlignment="1">
      <alignment horizontal="center" vertical="center"/>
    </xf>
    <xf numFmtId="0" fontId="35" fillId="0" borderId="4" xfId="0" applyFont="1" applyFill="1" applyBorder="1" applyAlignment="1">
      <alignment horizontal="center" vertical="center"/>
    </xf>
    <xf numFmtId="10" fontId="35" fillId="0" borderId="3" xfId="0" applyNumberFormat="1" applyFont="1" applyFill="1" applyBorder="1" applyAlignment="1">
      <alignment horizontal="center" vertical="center"/>
    </xf>
    <xf numFmtId="10" fontId="35" fillId="0" borderId="4" xfId="0" applyNumberFormat="1" applyFont="1" applyFill="1" applyBorder="1" applyAlignment="1">
      <alignment horizontal="center" vertical="center"/>
    </xf>
    <xf numFmtId="165" fontId="35" fillId="0" borderId="3" xfId="0" applyNumberFormat="1" applyFont="1" applyFill="1" applyBorder="1" applyAlignment="1">
      <alignment horizontal="center" vertical="center"/>
    </xf>
    <xf numFmtId="165" fontId="35" fillId="0" borderId="4"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wrapText="1"/>
    </xf>
    <xf numFmtId="49" fontId="31" fillId="0" borderId="3" xfId="0" applyNumberFormat="1" applyFont="1" applyFill="1" applyBorder="1" applyAlignment="1">
      <alignment horizontal="center" vertical="center" wrapText="1"/>
    </xf>
    <xf numFmtId="165" fontId="35" fillId="0" borderId="1" xfId="0" applyNumberFormat="1" applyFont="1" applyFill="1" applyBorder="1" applyAlignment="1">
      <alignment horizontal="center" vertical="center"/>
    </xf>
    <xf numFmtId="10" fontId="35" fillId="0" borderId="1" xfId="0" applyNumberFormat="1" applyFont="1" applyFill="1" applyBorder="1" applyAlignment="1">
      <alignment horizontal="center" vertical="center"/>
    </xf>
    <xf numFmtId="0" fontId="11" fillId="0" borderId="4" xfId="0" applyFont="1" applyBorder="1" applyAlignment="1">
      <alignment horizontal="center" vertical="center"/>
    </xf>
    <xf numFmtId="0" fontId="11" fillId="0" borderId="4" xfId="0" applyFont="1" applyBorder="1" applyAlignment="1">
      <alignment horizontal="center" vertical="center" wrapText="1"/>
    </xf>
    <xf numFmtId="0" fontId="26" fillId="15" borderId="5" xfId="0" applyFont="1" applyFill="1" applyBorder="1" applyAlignment="1">
      <alignment horizontal="center" vertical="center"/>
    </xf>
    <xf numFmtId="0" fontId="26" fillId="15" borderId="6" xfId="0" applyFont="1" applyFill="1" applyBorder="1" applyAlignment="1">
      <alignment horizontal="center" vertical="center"/>
    </xf>
    <xf numFmtId="0" fontId="26" fillId="15" borderId="7" xfId="0" applyFont="1" applyFill="1" applyBorder="1" applyAlignment="1">
      <alignment horizontal="center" vertical="center"/>
    </xf>
    <xf numFmtId="10" fontId="4" fillId="15" borderId="5" xfId="0" applyNumberFormat="1" applyFont="1" applyFill="1" applyBorder="1" applyAlignment="1">
      <alignment horizontal="center" vertical="center"/>
    </xf>
    <xf numFmtId="10" fontId="4" fillId="15" borderId="6" xfId="0" applyNumberFormat="1" applyFont="1" applyFill="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3" fontId="4" fillId="15" borderId="5" xfId="0" applyNumberFormat="1" applyFont="1" applyFill="1" applyBorder="1" applyAlignment="1">
      <alignment horizontal="right" vertical="center"/>
    </xf>
    <xf numFmtId="3" fontId="4" fillId="15" borderId="6" xfId="0" applyNumberFormat="1" applyFont="1" applyFill="1" applyBorder="1" applyAlignment="1">
      <alignment horizontal="right" vertical="center"/>
    </xf>
    <xf numFmtId="3" fontId="4" fillId="15" borderId="7" xfId="0" applyNumberFormat="1" applyFont="1" applyFill="1" applyBorder="1" applyAlignment="1">
      <alignment horizontal="right" vertical="center"/>
    </xf>
    <xf numFmtId="0" fontId="9" fillId="0" borderId="3" xfId="0" applyFont="1" applyFill="1" applyBorder="1" applyAlignment="1">
      <alignment horizontal="center" vertical="center"/>
    </xf>
    <xf numFmtId="10" fontId="3" fillId="35" borderId="2" xfId="68" applyNumberFormat="1" applyFont="1" applyFill="1" applyBorder="1" applyAlignment="1">
      <alignment horizontal="center" vertical="center"/>
    </xf>
    <xf numFmtId="10" fontId="3" fillId="16" borderId="1" xfId="68" applyNumberFormat="1" applyFont="1" applyFill="1" applyBorder="1" applyAlignment="1">
      <alignment horizontal="center" vertical="center"/>
    </xf>
    <xf numFmtId="10" fontId="3" fillId="16" borderId="4" xfId="68" applyNumberFormat="1" applyFont="1" applyFill="1" applyBorder="1" applyAlignment="1">
      <alignment horizontal="center" vertical="center"/>
    </xf>
    <xf numFmtId="10" fontId="3" fillId="16" borderId="1" xfId="69" applyNumberFormat="1" applyFont="1" applyFill="1" applyBorder="1" applyAlignment="1">
      <alignment horizontal="center" vertical="center"/>
    </xf>
    <xf numFmtId="10" fontId="3" fillId="16" borderId="3" xfId="69" applyNumberFormat="1" applyFont="1" applyFill="1" applyBorder="1" applyAlignment="1">
      <alignment horizontal="center" vertical="center"/>
    </xf>
    <xf numFmtId="10" fontId="31" fillId="0" borderId="4" xfId="0" applyNumberFormat="1" applyFont="1" applyBorder="1" applyAlignment="1">
      <alignment horizontal="center" vertical="center"/>
    </xf>
    <xf numFmtId="10" fontId="9" fillId="0" borderId="1" xfId="69" applyNumberFormat="1" applyFont="1" applyFill="1" applyBorder="1" applyAlignment="1">
      <alignment horizontal="center" vertical="center"/>
    </xf>
    <xf numFmtId="10" fontId="9" fillId="0" borderId="3" xfId="69" applyNumberFormat="1" applyFont="1" applyFill="1" applyBorder="1" applyAlignment="1">
      <alignment horizontal="center" vertical="center"/>
    </xf>
    <xf numFmtId="10" fontId="11" fillId="0" borderId="4" xfId="0" applyNumberFormat="1" applyFont="1" applyFill="1" applyBorder="1" applyAlignment="1">
      <alignment horizontal="center" vertical="center"/>
    </xf>
    <xf numFmtId="10" fontId="3" fillId="0" borderId="1" xfId="68" applyNumberFormat="1" applyFont="1" applyFill="1" applyBorder="1" applyAlignment="1">
      <alignment horizontal="center" vertical="center"/>
    </xf>
    <xf numFmtId="10" fontId="3" fillId="0" borderId="3" xfId="68" applyNumberFormat="1" applyFont="1" applyFill="1" applyBorder="1" applyAlignment="1">
      <alignment horizontal="center" vertical="center"/>
    </xf>
    <xf numFmtId="10" fontId="3" fillId="23" borderId="1" xfId="68" applyNumberFormat="1" applyFont="1" applyFill="1" applyBorder="1" applyAlignment="1">
      <alignment horizontal="center" vertical="center"/>
    </xf>
    <xf numFmtId="10" fontId="9" fillId="0" borderId="4" xfId="0" applyNumberFormat="1" applyFont="1" applyBorder="1" applyAlignment="1">
      <alignment horizontal="center" vertical="center"/>
    </xf>
    <xf numFmtId="10" fontId="3" fillId="16" borderId="24" xfId="69" applyNumberFormat="1" applyFont="1" applyFill="1" applyBorder="1" applyAlignment="1">
      <alignment horizontal="center" vertical="center"/>
    </xf>
    <xf numFmtId="10" fontId="3" fillId="38" borderId="1" xfId="68" applyNumberFormat="1" applyFont="1" applyFill="1" applyBorder="1" applyAlignment="1">
      <alignment horizontal="center" vertical="center"/>
    </xf>
    <xf numFmtId="10" fontId="3" fillId="39" borderId="1" xfId="68" applyNumberFormat="1" applyFont="1" applyFill="1" applyBorder="1" applyAlignment="1">
      <alignment horizontal="center" vertical="center"/>
    </xf>
    <xf numFmtId="10" fontId="3" fillId="0" borderId="1" xfId="0" applyNumberFormat="1" applyFont="1" applyFill="1" applyBorder="1" applyAlignment="1">
      <alignment horizontal="center" vertical="center"/>
    </xf>
    <xf numFmtId="10" fontId="3" fillId="0" borderId="3" xfId="0" applyNumberFormat="1" applyFont="1" applyFill="1" applyBorder="1" applyAlignment="1">
      <alignment horizontal="center" vertical="center"/>
    </xf>
    <xf numFmtId="10" fontId="31" fillId="0" borderId="3" xfId="0" applyNumberFormat="1" applyFont="1" applyFill="1" applyBorder="1" applyAlignment="1">
      <alignment horizontal="center" vertical="center"/>
    </xf>
    <xf numFmtId="10" fontId="3" fillId="0" borderId="1" xfId="69" applyNumberFormat="1" applyFont="1" applyFill="1" applyBorder="1" applyAlignment="1">
      <alignment horizontal="center" vertical="center"/>
    </xf>
    <xf numFmtId="10" fontId="3" fillId="0" borderId="2" xfId="68" applyNumberFormat="1" applyFont="1" applyFill="1" applyBorder="1" applyAlignment="1">
      <alignment horizontal="center" vertical="center"/>
    </xf>
    <xf numFmtId="10" fontId="3" fillId="35" borderId="1" xfId="68" applyNumberFormat="1" applyFont="1" applyFill="1" applyBorder="1" applyAlignment="1">
      <alignment horizontal="center" vertical="center"/>
    </xf>
    <xf numFmtId="0" fontId="9" fillId="35" borderId="4" xfId="0" applyFont="1" applyFill="1" applyBorder="1" applyAlignment="1">
      <alignment horizontal="center" vertical="center"/>
    </xf>
    <xf numFmtId="0" fontId="31" fillId="35" borderId="3" xfId="0" applyFont="1" applyFill="1" applyBorder="1" applyAlignment="1">
      <alignment horizontal="center" vertical="center"/>
    </xf>
    <xf numFmtId="0" fontId="31" fillId="35" borderId="4" xfId="0" applyFont="1" applyFill="1" applyBorder="1" applyAlignment="1">
      <alignment horizontal="center" vertical="center"/>
    </xf>
    <xf numFmtId="10" fontId="3" fillId="21" borderId="1" xfId="68" applyNumberFormat="1" applyFont="1" applyFill="1" applyBorder="1" applyAlignment="1">
      <alignment horizontal="center" vertical="center"/>
    </xf>
    <xf numFmtId="10" fontId="3" fillId="37" borderId="1" xfId="68" applyNumberFormat="1" applyFont="1" applyFill="1" applyBorder="1" applyAlignment="1">
      <alignment horizontal="center" vertical="center"/>
    </xf>
    <xf numFmtId="10" fontId="3" fillId="36" borderId="1" xfId="68" applyNumberFormat="1" applyFont="1" applyFill="1" applyBorder="1" applyAlignment="1">
      <alignment horizontal="center" vertical="center"/>
    </xf>
    <xf numFmtId="167" fontId="3" fillId="16" borderId="1" xfId="69" applyNumberFormat="1" applyFont="1" applyFill="1" applyBorder="1" applyAlignment="1">
      <alignment horizontal="center" vertical="center"/>
    </xf>
    <xf numFmtId="167" fontId="3" fillId="16" borderId="24" xfId="69" applyNumberFormat="1" applyFont="1" applyFill="1" applyBorder="1" applyAlignment="1">
      <alignment horizontal="center" vertical="center"/>
    </xf>
    <xf numFmtId="3" fontId="3" fillId="35" borderId="1" xfId="69" applyNumberFormat="1" applyFont="1" applyFill="1" applyBorder="1" applyAlignment="1">
      <alignment horizontal="right" vertical="center"/>
    </xf>
    <xf numFmtId="3" fontId="3" fillId="35" borderId="4" xfId="69" applyNumberFormat="1" applyFont="1" applyFill="1" applyBorder="1" applyAlignment="1">
      <alignment horizontal="right" vertical="center"/>
    </xf>
    <xf numFmtId="0" fontId="9" fillId="35" borderId="4" xfId="0" applyFont="1" applyFill="1" applyBorder="1" applyAlignment="1">
      <alignment horizontal="right" vertical="center"/>
    </xf>
    <xf numFmtId="3" fontId="3" fillId="35" borderId="3" xfId="69" applyNumberFormat="1" applyFont="1" applyFill="1" applyBorder="1" applyAlignment="1">
      <alignment horizontal="right" vertical="center"/>
    </xf>
    <xf numFmtId="0" fontId="3" fillId="35" borderId="3" xfId="0" applyFont="1" applyFill="1" applyBorder="1" applyAlignment="1">
      <alignment horizontal="right" vertical="center"/>
    </xf>
    <xf numFmtId="0" fontId="9" fillId="35" borderId="3" xfId="0" applyFont="1" applyFill="1" applyBorder="1" applyAlignment="1">
      <alignment horizontal="right" vertical="center"/>
    </xf>
    <xf numFmtId="0" fontId="3" fillId="35" borderId="24" xfId="0" applyFont="1" applyFill="1" applyBorder="1" applyAlignment="1">
      <alignment horizontal="right" vertical="center"/>
    </xf>
    <xf numFmtId="10" fontId="3" fillId="0" borderId="2" xfId="70" applyNumberFormat="1" applyFont="1" applyFill="1" applyBorder="1" applyAlignment="1">
      <alignment horizontal="center" vertical="center"/>
    </xf>
    <xf numFmtId="10" fontId="3" fillId="0" borderId="2" xfId="70" applyNumberFormat="1" applyFont="1" applyBorder="1" applyAlignment="1">
      <alignment horizontal="center" vertical="center"/>
    </xf>
    <xf numFmtId="10" fontId="3" fillId="0" borderId="2" xfId="0" applyNumberFormat="1" applyFont="1" applyFill="1" applyBorder="1" applyAlignment="1">
      <alignment horizontal="center" vertical="center"/>
    </xf>
    <xf numFmtId="176" fontId="3" fillId="16" borderId="1" xfId="69" applyNumberFormat="1" applyFont="1" applyFill="1" applyBorder="1" applyAlignment="1">
      <alignment horizontal="right" vertical="center"/>
    </xf>
    <xf numFmtId="176" fontId="3" fillId="16" borderId="4" xfId="69" applyNumberFormat="1" applyFont="1" applyFill="1" applyBorder="1" applyAlignment="1">
      <alignment horizontal="right" vertical="center"/>
    </xf>
    <xf numFmtId="176" fontId="3" fillId="0" borderId="1" xfId="69" applyNumberFormat="1" applyFont="1" applyFill="1" applyBorder="1" applyAlignment="1">
      <alignment horizontal="right" vertical="center"/>
    </xf>
    <xf numFmtId="176" fontId="3" fillId="0" borderId="3" xfId="69" applyNumberFormat="1" applyFont="1" applyFill="1" applyBorder="1" applyAlignment="1">
      <alignment horizontal="right" vertical="center"/>
    </xf>
    <xf numFmtId="176" fontId="3" fillId="0" borderId="4" xfId="69" applyNumberFormat="1" applyFont="1" applyFill="1" applyBorder="1" applyAlignment="1">
      <alignment horizontal="right" vertical="center"/>
    </xf>
    <xf numFmtId="176" fontId="9" fillId="0" borderId="1" xfId="69" applyNumberFormat="1" applyFont="1" applyFill="1" applyBorder="1" applyAlignment="1">
      <alignment horizontal="right" vertical="center"/>
    </xf>
    <xf numFmtId="176" fontId="9" fillId="0" borderId="4" xfId="69" applyNumberFormat="1" applyFont="1" applyFill="1" applyBorder="1" applyAlignment="1">
      <alignment horizontal="right" vertical="center"/>
    </xf>
    <xf numFmtId="3" fontId="3" fillId="40" borderId="2" xfId="69" applyNumberFormat="1" applyFont="1" applyFill="1" applyBorder="1" applyAlignment="1">
      <alignment horizontal="right" vertical="center"/>
    </xf>
    <xf numFmtId="3" fontId="9" fillId="40" borderId="1" xfId="69" applyNumberFormat="1" applyFont="1" applyFill="1" applyBorder="1" applyAlignment="1">
      <alignment horizontal="right" vertical="center"/>
    </xf>
    <xf numFmtId="3" fontId="9" fillId="40" borderId="4" xfId="69" applyNumberFormat="1" applyFont="1" applyFill="1" applyBorder="1" applyAlignment="1">
      <alignment horizontal="right"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1" fillId="0" borderId="3" xfId="0" applyFont="1" applyFill="1" applyBorder="1" applyAlignment="1">
      <alignment horizontal="center" vertical="center"/>
    </xf>
    <xf numFmtId="167" fontId="3" fillId="0" borderId="1" xfId="69" applyNumberFormat="1" applyFont="1" applyFill="1" applyBorder="1" applyAlignment="1">
      <alignment horizontal="center" vertical="center"/>
    </xf>
    <xf numFmtId="167" fontId="9" fillId="0" borderId="1" xfId="69" applyNumberFormat="1" applyFont="1" applyFill="1" applyBorder="1" applyAlignment="1">
      <alignment horizontal="center" vertical="center"/>
    </xf>
    <xf numFmtId="167" fontId="9" fillId="0" borderId="3" xfId="69" applyNumberFormat="1" applyFont="1" applyFill="1" applyBorder="1" applyAlignment="1">
      <alignment horizontal="center" vertical="center"/>
    </xf>
    <xf numFmtId="0" fontId="11" fillId="0" borderId="4" xfId="0" applyFont="1" applyFill="1" applyBorder="1" applyAlignment="1">
      <alignment horizontal="center" vertical="center"/>
    </xf>
    <xf numFmtId="167" fontId="3" fillId="16" borderId="3" xfId="69" applyNumberFormat="1" applyFont="1" applyFill="1" applyBorder="1" applyAlignment="1">
      <alignment horizontal="center" vertical="center"/>
    </xf>
    <xf numFmtId="0" fontId="31" fillId="0" borderId="4" xfId="0" applyFont="1" applyBorder="1" applyAlignment="1">
      <alignment horizontal="center" vertical="center"/>
    </xf>
    <xf numFmtId="3" fontId="3" fillId="40" borderId="1" xfId="69" applyNumberFormat="1" applyFont="1" applyFill="1" applyBorder="1" applyAlignment="1">
      <alignment horizontal="right" vertical="center"/>
    </xf>
    <xf numFmtId="3" fontId="31" fillId="40" borderId="4" xfId="0" applyNumberFormat="1" applyFont="1" applyFill="1" applyBorder="1" applyAlignment="1">
      <alignment horizontal="right" vertical="center"/>
    </xf>
    <xf numFmtId="3" fontId="31" fillId="40" borderId="3" xfId="0" applyNumberFormat="1" applyFont="1" applyFill="1" applyBorder="1" applyAlignment="1">
      <alignment horizontal="right" vertical="center"/>
    </xf>
    <xf numFmtId="3" fontId="3" fillId="35" borderId="2" xfId="70" applyNumberFormat="1" applyFont="1" applyFill="1" applyBorder="1" applyAlignment="1">
      <alignment horizontal="right" vertical="center"/>
    </xf>
    <xf numFmtId="3" fontId="3" fillId="0" borderId="2" xfId="70" applyNumberFormat="1" applyFont="1" applyBorder="1" applyAlignment="1">
      <alignment horizontal="right" vertical="center"/>
    </xf>
    <xf numFmtId="3" fontId="3" fillId="40" borderId="2" xfId="70" applyNumberFormat="1" applyFont="1" applyFill="1" applyBorder="1" applyAlignment="1">
      <alignment horizontal="right" vertical="center"/>
    </xf>
    <xf numFmtId="3" fontId="3" fillId="40" borderId="4" xfId="69" applyNumberFormat="1" applyFont="1" applyFill="1" applyBorder="1" applyAlignment="1">
      <alignment horizontal="right" vertical="center"/>
    </xf>
    <xf numFmtId="3" fontId="3" fillId="16" borderId="1" xfId="69" applyNumberFormat="1" applyFont="1" applyFill="1" applyBorder="1" applyAlignment="1">
      <alignment horizontal="right" vertical="center"/>
    </xf>
    <xf numFmtId="3" fontId="3" fillId="16" borderId="4" xfId="69" applyNumberFormat="1" applyFont="1" applyFill="1" applyBorder="1" applyAlignment="1">
      <alignment horizontal="right" vertical="center"/>
    </xf>
    <xf numFmtId="3" fontId="3" fillId="16" borderId="2" xfId="69" applyNumberFormat="1" applyFont="1" applyFill="1" applyBorder="1" applyAlignment="1">
      <alignment horizontal="right" vertical="center"/>
    </xf>
    <xf numFmtId="10" fontId="3" fillId="0" borderId="1" xfId="0" applyNumberFormat="1" applyFont="1" applyFill="1" applyBorder="1" applyAlignment="1">
      <alignment horizontal="center" vertical="center" wrapText="1"/>
    </xf>
    <xf numFmtId="10" fontId="3" fillId="0" borderId="4" xfId="0"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165" fontId="3" fillId="0" borderId="4" xfId="0" applyNumberFormat="1" applyFont="1" applyFill="1" applyBorder="1" applyAlignment="1">
      <alignment horizontal="center" vertical="center" wrapText="1"/>
    </xf>
    <xf numFmtId="0" fontId="3" fillId="0" borderId="4" xfId="0" applyFont="1" applyBorder="1" applyAlignment="1">
      <alignment horizontal="center" vertical="center"/>
    </xf>
    <xf numFmtId="0" fontId="3" fillId="0" borderId="4" xfId="0" applyFont="1" applyFill="1" applyBorder="1" applyAlignment="1">
      <alignment horizontal="center" vertical="center"/>
    </xf>
    <xf numFmtId="165" fontId="3" fillId="0" borderId="1" xfId="0" applyNumberFormat="1" applyFont="1" applyFill="1" applyBorder="1" applyAlignment="1">
      <alignment horizontal="center" vertical="center"/>
    </xf>
    <xf numFmtId="165" fontId="3" fillId="0" borderId="4" xfId="0" applyNumberFormat="1" applyFont="1" applyFill="1" applyBorder="1" applyAlignment="1">
      <alignment horizontal="center" vertical="center"/>
    </xf>
    <xf numFmtId="10" fontId="9" fillId="0" borderId="1" xfId="0" applyNumberFormat="1" applyFont="1" applyFill="1" applyBorder="1" applyAlignment="1">
      <alignment horizontal="center" vertical="center" wrapText="1"/>
    </xf>
    <xf numFmtId="0" fontId="9" fillId="0" borderId="4" xfId="0" applyFont="1" applyBorder="1" applyAlignment="1">
      <alignment horizontal="center" vertical="center" wrapText="1"/>
    </xf>
    <xf numFmtId="0" fontId="3" fillId="0" borderId="4" xfId="0" applyFont="1" applyBorder="1" applyAlignment="1">
      <alignment horizontal="center" vertical="center" wrapText="1"/>
    </xf>
    <xf numFmtId="3" fontId="3" fillId="0" borderId="1" xfId="69" applyNumberFormat="1" applyFont="1" applyFill="1" applyBorder="1" applyAlignment="1">
      <alignment horizontal="right" vertical="center"/>
    </xf>
    <xf numFmtId="3" fontId="3" fillId="0" borderId="4" xfId="69" applyNumberFormat="1" applyFont="1" applyFill="1" applyBorder="1" applyAlignment="1">
      <alignment horizontal="right" vertical="center"/>
    </xf>
    <xf numFmtId="3" fontId="3" fillId="0" borderId="2" xfId="69" applyNumberFormat="1" applyFont="1" applyFill="1" applyBorder="1" applyAlignment="1">
      <alignment horizontal="right" vertical="center"/>
    </xf>
    <xf numFmtId="3" fontId="9" fillId="0" borderId="1" xfId="69" applyNumberFormat="1" applyFont="1" applyFill="1" applyBorder="1" applyAlignment="1">
      <alignment horizontal="right" vertical="center"/>
    </xf>
    <xf numFmtId="3" fontId="9" fillId="0" borderId="3" xfId="69" applyNumberFormat="1" applyFont="1" applyFill="1" applyBorder="1" applyAlignment="1">
      <alignment horizontal="right" vertical="center"/>
    </xf>
    <xf numFmtId="0" fontId="3" fillId="0" borderId="24" xfId="0" applyFont="1" applyFill="1" applyBorder="1" applyAlignment="1">
      <alignment horizontal="center" vertical="center" wrapText="1"/>
    </xf>
    <xf numFmtId="0" fontId="31" fillId="35" borderId="24" xfId="0" applyFont="1" applyFill="1" applyBorder="1" applyAlignment="1">
      <alignment horizontal="right" vertical="center"/>
    </xf>
    <xf numFmtId="3" fontId="3" fillId="0" borderId="4" xfId="0" applyNumberFormat="1" applyFont="1" applyBorder="1" applyAlignment="1">
      <alignment horizontal="right" vertical="center"/>
    </xf>
    <xf numFmtId="0" fontId="9" fillId="0" borderId="4" xfId="0" applyFont="1" applyFill="1" applyBorder="1" applyAlignment="1">
      <alignment horizontal="center" vertical="center" wrapText="1"/>
    </xf>
    <xf numFmtId="0" fontId="11" fillId="35" borderId="4" xfId="0" applyFont="1" applyFill="1" applyBorder="1" applyAlignment="1">
      <alignment horizontal="right" vertical="center"/>
    </xf>
    <xf numFmtId="165" fontId="9" fillId="0" borderId="1" xfId="0" applyNumberFormat="1" applyFont="1" applyFill="1" applyBorder="1" applyAlignment="1">
      <alignment horizontal="center" vertical="center" wrapText="1"/>
    </xf>
    <xf numFmtId="165" fontId="9" fillId="0" borderId="3" xfId="0" applyNumberFormat="1" applyFont="1" applyFill="1" applyBorder="1" applyAlignment="1">
      <alignment horizontal="center" vertical="center" wrapText="1"/>
    </xf>
    <xf numFmtId="165" fontId="9" fillId="0" borderId="4" xfId="0" applyNumberFormat="1" applyFont="1" applyFill="1" applyBorder="1" applyAlignment="1">
      <alignment horizontal="center" vertical="center" wrapText="1"/>
    </xf>
    <xf numFmtId="0" fontId="11" fillId="35" borderId="3" xfId="0" applyFont="1" applyFill="1" applyBorder="1" applyAlignment="1">
      <alignment horizontal="right" vertical="center"/>
    </xf>
    <xf numFmtId="3" fontId="3" fillId="0" borderId="3" xfId="0" applyNumberFormat="1" applyFont="1" applyBorder="1" applyAlignment="1">
      <alignment horizontal="right" vertical="center"/>
    </xf>
    <xf numFmtId="3" fontId="3" fillId="40" borderId="3" xfId="69" applyNumberFormat="1" applyFont="1" applyFill="1" applyBorder="1" applyAlignment="1">
      <alignment horizontal="right" vertical="center"/>
    </xf>
    <xf numFmtId="3" fontId="3" fillId="0" borderId="3" xfId="69" applyNumberFormat="1" applyFont="1" applyFill="1" applyBorder="1" applyAlignment="1">
      <alignment horizontal="right" vertical="center"/>
    </xf>
    <xf numFmtId="3" fontId="9" fillId="0" borderId="4" xfId="69" applyNumberFormat="1" applyFont="1" applyFill="1" applyBorder="1" applyAlignment="1">
      <alignment horizontal="right" vertical="center"/>
    </xf>
    <xf numFmtId="0" fontId="9" fillId="0" borderId="3" xfId="0" applyFont="1" applyFill="1" applyBorder="1" applyAlignment="1">
      <alignment horizontal="center" vertical="center" wrapText="1"/>
    </xf>
    <xf numFmtId="165" fontId="3" fillId="0" borderId="3" xfId="0" applyNumberFormat="1" applyFont="1" applyFill="1" applyBorder="1" applyAlignment="1">
      <alignment horizontal="center" vertical="center" wrapText="1"/>
    </xf>
    <xf numFmtId="10" fontId="9" fillId="0" borderId="2" xfId="0" applyNumberFormat="1" applyFont="1" applyFill="1" applyBorder="1" applyAlignment="1">
      <alignment horizontal="center" vertical="center" wrapText="1"/>
    </xf>
    <xf numFmtId="10" fontId="9" fillId="0" borderId="1" xfId="0" applyNumberFormat="1" applyFont="1" applyFill="1" applyBorder="1" applyAlignment="1">
      <alignment horizontal="center" vertical="center"/>
    </xf>
    <xf numFmtId="0" fontId="9" fillId="0" borderId="4" xfId="0" applyFont="1" applyFill="1" applyBorder="1" applyAlignment="1">
      <alignment horizontal="center" vertical="center"/>
    </xf>
    <xf numFmtId="165" fontId="3" fillId="0" borderId="2"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Border="1" applyAlignment="1">
      <alignment horizontal="center" vertical="center"/>
    </xf>
    <xf numFmtId="10" fontId="9" fillId="0" borderId="3" xfId="0" applyNumberFormat="1" applyFont="1" applyFill="1" applyBorder="1" applyAlignment="1">
      <alignment horizontal="center" vertical="center" wrapText="1"/>
    </xf>
    <xf numFmtId="171" fontId="3" fillId="0" borderId="1" xfId="0" applyNumberFormat="1" applyFont="1" applyFill="1" applyBorder="1" applyAlignment="1">
      <alignment horizontal="center" vertical="center" wrapText="1"/>
    </xf>
    <xf numFmtId="171" fontId="3" fillId="0" borderId="4" xfId="0" applyNumberFormat="1" applyFont="1" applyFill="1" applyBorder="1" applyAlignment="1">
      <alignment horizontal="center" vertical="center" wrapText="1"/>
    </xf>
    <xf numFmtId="0" fontId="31" fillId="35" borderId="3" xfId="0" applyFont="1" applyFill="1" applyBorder="1" applyAlignment="1">
      <alignment horizontal="right" vertical="center"/>
    </xf>
    <xf numFmtId="10" fontId="3" fillId="36" borderId="1" xfId="0" applyNumberFormat="1" applyFont="1" applyFill="1" applyBorder="1" applyAlignment="1">
      <alignment horizontal="right" vertical="center"/>
    </xf>
    <xf numFmtId="0" fontId="9" fillId="0" borderId="4" xfId="0" applyFont="1" applyBorder="1" applyAlignment="1">
      <alignment horizontal="right" vertical="center"/>
    </xf>
    <xf numFmtId="10" fontId="3" fillId="23" borderId="1" xfId="0" applyNumberFormat="1" applyFont="1" applyFill="1" applyBorder="1" applyAlignment="1">
      <alignment horizontal="right" vertical="center"/>
    </xf>
    <xf numFmtId="3" fontId="3" fillId="39" borderId="1" xfId="0" applyNumberFormat="1" applyFont="1" applyFill="1" applyBorder="1" applyAlignment="1">
      <alignment horizontal="right" vertical="center"/>
    </xf>
    <xf numFmtId="3" fontId="3" fillId="40" borderId="1" xfId="0" applyNumberFormat="1" applyFont="1" applyFill="1" applyBorder="1" applyAlignment="1">
      <alignment horizontal="right" vertical="center"/>
    </xf>
    <xf numFmtId="0" fontId="9" fillId="0" borderId="4" xfId="0" applyFont="1" applyBorder="1"/>
    <xf numFmtId="3" fontId="3" fillId="35" borderId="1" xfId="0" applyNumberFormat="1" applyFont="1" applyFill="1" applyBorder="1" applyAlignment="1">
      <alignment horizontal="right" vertical="center"/>
    </xf>
    <xf numFmtId="3" fontId="3" fillId="23" borderId="1" xfId="0" applyNumberFormat="1" applyFont="1" applyFill="1" applyBorder="1" applyAlignment="1">
      <alignment horizontal="right" vertical="center"/>
    </xf>
    <xf numFmtId="0" fontId="9" fillId="0" borderId="4" xfId="0" applyFont="1" applyBorder="1" applyAlignment="1">
      <alignment horizontal="center" vertical="center"/>
    </xf>
    <xf numFmtId="175" fontId="9" fillId="0" borderId="1" xfId="0" applyNumberFormat="1" applyFont="1" applyFill="1" applyBorder="1" applyAlignment="1">
      <alignment horizontal="center" vertical="center"/>
    </xf>
    <xf numFmtId="175" fontId="9" fillId="0" borderId="4" xfId="0" applyNumberFormat="1" applyFont="1" applyFill="1" applyBorder="1" applyAlignment="1">
      <alignment horizontal="center" vertical="center"/>
    </xf>
    <xf numFmtId="165" fontId="9" fillId="0" borderId="2" xfId="0" applyNumberFormat="1" applyFont="1" applyFill="1" applyBorder="1" applyAlignment="1">
      <alignment horizontal="center" vertical="center" wrapText="1"/>
    </xf>
    <xf numFmtId="3" fontId="3" fillId="21" borderId="1" xfId="0" applyNumberFormat="1" applyFont="1" applyFill="1" applyBorder="1" applyAlignment="1">
      <alignment horizontal="right" vertical="center"/>
    </xf>
    <xf numFmtId="3" fontId="3" fillId="37" borderId="1" xfId="0" applyNumberFormat="1" applyFont="1" applyFill="1" applyBorder="1" applyAlignment="1">
      <alignment horizontal="right" vertical="center"/>
    </xf>
    <xf numFmtId="3" fontId="3" fillId="36" borderId="1" xfId="0" applyNumberFormat="1" applyFont="1" applyFill="1" applyBorder="1" applyAlignment="1">
      <alignment horizontal="right" vertical="center"/>
    </xf>
    <xf numFmtId="3" fontId="3" fillId="40" borderId="2" xfId="0" applyNumberFormat="1" applyFont="1" applyFill="1" applyBorder="1" applyAlignment="1">
      <alignment horizontal="right" vertical="center"/>
    </xf>
    <xf numFmtId="3" fontId="3" fillId="0" borderId="2" xfId="0" applyNumberFormat="1" applyFont="1" applyFill="1" applyBorder="1" applyAlignment="1">
      <alignment horizontal="right" vertical="center"/>
    </xf>
    <xf numFmtId="3" fontId="3" fillId="0" borderId="2" xfId="0" applyNumberFormat="1" applyFont="1" applyBorder="1" applyAlignment="1">
      <alignment horizontal="right" vertical="center"/>
    </xf>
    <xf numFmtId="3" fontId="3" fillId="0" borderId="2" xfId="70" applyNumberFormat="1" applyFont="1" applyFill="1" applyBorder="1" applyAlignment="1">
      <alignment horizontal="right" vertical="center"/>
    </xf>
    <xf numFmtId="10" fontId="3" fillId="0" borderId="1" xfId="0" applyNumberFormat="1" applyFont="1" applyBorder="1" applyAlignment="1">
      <alignment horizontal="center" vertical="center"/>
    </xf>
    <xf numFmtId="0" fontId="0" fillId="0" borderId="4" xfId="0" applyBorder="1" applyAlignment="1">
      <alignment horizontal="center" vertical="center"/>
    </xf>
    <xf numFmtId="3" fontId="3" fillId="38" borderId="1" xfId="0" applyNumberFormat="1" applyFont="1" applyFill="1" applyBorder="1" applyAlignment="1">
      <alignment horizontal="right" vertical="center"/>
    </xf>
    <xf numFmtId="10" fontId="3" fillId="35" borderId="1" xfId="0" applyNumberFormat="1" applyFont="1" applyFill="1" applyBorder="1" applyAlignment="1">
      <alignment horizontal="center" vertical="center" wrapText="1"/>
    </xf>
    <xf numFmtId="0" fontId="9" fillId="35" borderId="3" xfId="0" applyFont="1" applyFill="1" applyBorder="1" applyAlignment="1">
      <alignment horizontal="center" vertical="center" wrapText="1"/>
    </xf>
    <xf numFmtId="0" fontId="9" fillId="35" borderId="4" xfId="0" applyFont="1" applyFill="1" applyBorder="1" applyAlignment="1">
      <alignment horizontal="center" vertical="center" wrapText="1"/>
    </xf>
    <xf numFmtId="3" fontId="3" fillId="35" borderId="2" xfId="0" applyNumberFormat="1" applyFont="1" applyFill="1" applyBorder="1" applyAlignment="1">
      <alignment horizontal="right" vertical="center"/>
    </xf>
    <xf numFmtId="10" fontId="3" fillId="35" borderId="2" xfId="70" applyNumberFormat="1" applyFont="1" applyFill="1" applyBorder="1" applyAlignment="1">
      <alignment horizontal="center" vertical="center"/>
    </xf>
    <xf numFmtId="10" fontId="3" fillId="35" borderId="2" xfId="0" applyNumberFormat="1" applyFont="1" applyFill="1" applyBorder="1" applyAlignment="1">
      <alignment horizontal="center" vertical="center"/>
    </xf>
    <xf numFmtId="0" fontId="3" fillId="0" borderId="2" xfId="0" applyFont="1" applyBorder="1" applyAlignment="1">
      <alignment horizontal="center" vertical="center"/>
    </xf>
    <xf numFmtId="10" fontId="3" fillId="0" borderId="2" xfId="0" applyNumberFormat="1" applyFont="1" applyBorder="1" applyAlignment="1">
      <alignment horizontal="center" vertical="center" wrapText="1"/>
    </xf>
    <xf numFmtId="165" fontId="3" fillId="0" borderId="2" xfId="0" applyNumberFormat="1" applyFont="1" applyBorder="1" applyAlignment="1">
      <alignment horizontal="center" vertical="center"/>
    </xf>
    <xf numFmtId="0" fontId="3" fillId="0" borderId="2" xfId="0" applyFont="1" applyBorder="1" applyAlignment="1">
      <alignment horizontal="center" vertical="center" wrapText="1"/>
    </xf>
    <xf numFmtId="10" fontId="3" fillId="0" borderId="2" xfId="0" applyNumberFormat="1" applyFont="1" applyBorder="1" applyAlignment="1">
      <alignment horizontal="center" vertical="center"/>
    </xf>
    <xf numFmtId="0" fontId="3" fillId="0" borderId="2" xfId="0" applyFont="1" applyFill="1" applyBorder="1" applyAlignment="1">
      <alignment horizontal="center" vertical="center"/>
    </xf>
    <xf numFmtId="10" fontId="3" fillId="0" borderId="2" xfId="0" applyNumberFormat="1" applyFont="1" applyFill="1" applyBorder="1" applyAlignment="1">
      <alignment horizontal="center" vertical="center" wrapText="1"/>
    </xf>
    <xf numFmtId="165" fontId="3" fillId="0" borderId="2"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wrapText="1"/>
    </xf>
    <xf numFmtId="3" fontId="3" fillId="15" borderId="5" xfId="0" applyNumberFormat="1" applyFont="1" applyFill="1" applyBorder="1" applyAlignment="1">
      <alignment horizontal="center" vertical="center"/>
    </xf>
    <xf numFmtId="3" fontId="3" fillId="15" borderId="6" xfId="0" applyNumberFormat="1" applyFont="1" applyFill="1" applyBorder="1" applyAlignment="1">
      <alignment horizontal="center" vertical="center"/>
    </xf>
    <xf numFmtId="3" fontId="3" fillId="15" borderId="7" xfId="0" applyNumberFormat="1" applyFont="1" applyFill="1" applyBorder="1" applyAlignment="1">
      <alignment horizontal="center" vertical="center"/>
    </xf>
    <xf numFmtId="10" fontId="3" fillId="15" borderId="5" xfId="0" applyNumberFormat="1" applyFont="1" applyFill="1" applyBorder="1" applyAlignment="1">
      <alignment horizontal="center" vertical="center"/>
    </xf>
    <xf numFmtId="10" fontId="3" fillId="15" borderId="6" xfId="0" applyNumberFormat="1" applyFont="1" applyFill="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15" borderId="5" xfId="0" applyFont="1" applyFill="1" applyBorder="1" applyAlignment="1">
      <alignment horizontal="center" vertical="center"/>
    </xf>
    <xf numFmtId="0" fontId="3" fillId="15" borderId="6" xfId="0" applyFont="1" applyFill="1" applyBorder="1" applyAlignment="1">
      <alignment horizontal="center" vertical="center"/>
    </xf>
    <xf numFmtId="0" fontId="3" fillId="15" borderId="7" xfId="0" applyFont="1" applyFill="1" applyBorder="1" applyAlignment="1">
      <alignment horizontal="center" vertical="center"/>
    </xf>
  </cellXfs>
  <cellStyles count="408">
    <cellStyle name="=D:\WINNT\SYSTEM32\COMMAND.COM" xfId="79"/>
    <cellStyle name="=D:\WINNT\SYSTEM32\COMMAND.COM 2" xfId="80"/>
    <cellStyle name="20% - 1. jelölőszín 10" xfId="81"/>
    <cellStyle name="20% - 1. jelölőszín 11" xfId="82"/>
    <cellStyle name="20% - 1. jelölőszín 12" xfId="83"/>
    <cellStyle name="20% - 1. jelölőszín 13" xfId="84"/>
    <cellStyle name="20% - 1. jelölőszín 14" xfId="85"/>
    <cellStyle name="20% - 1. jelölőszín 15" xfId="86"/>
    <cellStyle name="20% - 1. jelölőszín 2" xfId="87"/>
    <cellStyle name="20% - 1. jelölőszín 2 2" xfId="1"/>
    <cellStyle name="20% - 1. jelölőszín 2 3" xfId="2"/>
    <cellStyle name="20% - 1. jelölőszín 2 4" xfId="3"/>
    <cellStyle name="20% - 1. jelölőszín 2 5" xfId="4"/>
    <cellStyle name="20% - 1. jelölőszín 2 6" xfId="5"/>
    <cellStyle name="20% - 1. jelölőszín 3" xfId="88"/>
    <cellStyle name="20% - 1. jelölőszín 4" xfId="89"/>
    <cellStyle name="20% - 1. jelölőszín 5" xfId="90"/>
    <cellStyle name="20% - 1. jelölőszín 6" xfId="91"/>
    <cellStyle name="20% - 1. jelölőszín 7" xfId="92"/>
    <cellStyle name="20% - 1. jelölőszín 8" xfId="93"/>
    <cellStyle name="20% - 1. jelölőszín 9" xfId="94"/>
    <cellStyle name="20% - 2. jelölőszín 10" xfId="95"/>
    <cellStyle name="20% - 2. jelölőszín 11" xfId="96"/>
    <cellStyle name="20% - 2. jelölőszín 12" xfId="97"/>
    <cellStyle name="20% - 2. jelölőszín 13" xfId="98"/>
    <cellStyle name="20% - 2. jelölőszín 14" xfId="99"/>
    <cellStyle name="20% - 2. jelölőszín 15" xfId="100"/>
    <cellStyle name="20% - 2. jelölőszín 2" xfId="101"/>
    <cellStyle name="20% - 2. jelölőszín 2 2" xfId="6"/>
    <cellStyle name="20% - 2. jelölőszín 2 3" xfId="7"/>
    <cellStyle name="20% - 2. jelölőszín 2 4" xfId="8"/>
    <cellStyle name="20% - 2. jelölőszín 2 5" xfId="9"/>
    <cellStyle name="20% - 2. jelölőszín 2 6" xfId="10"/>
    <cellStyle name="20% - 2. jelölőszín 3" xfId="102"/>
    <cellStyle name="20% - 2. jelölőszín 4" xfId="103"/>
    <cellStyle name="20% - 2. jelölőszín 5" xfId="104"/>
    <cellStyle name="20% - 2. jelölőszín 6" xfId="105"/>
    <cellStyle name="20% - 2. jelölőszín 7" xfId="106"/>
    <cellStyle name="20% - 2. jelölőszín 8" xfId="107"/>
    <cellStyle name="20% - 2. jelölőszín 9" xfId="108"/>
    <cellStyle name="20% - 3. jelölőszín 10" xfId="109"/>
    <cellStyle name="20% - 3. jelölőszín 11" xfId="110"/>
    <cellStyle name="20% - 3. jelölőszín 12" xfId="111"/>
    <cellStyle name="20% - 3. jelölőszín 13" xfId="112"/>
    <cellStyle name="20% - 3. jelölőszín 14" xfId="113"/>
    <cellStyle name="20% - 3. jelölőszín 15" xfId="114"/>
    <cellStyle name="20% - 3. jelölőszín 2" xfId="115"/>
    <cellStyle name="20% - 3. jelölőszín 2 2" xfId="11"/>
    <cellStyle name="20% - 3. jelölőszín 2 3" xfId="12"/>
    <cellStyle name="20% - 3. jelölőszín 2 4" xfId="13"/>
    <cellStyle name="20% - 3. jelölőszín 2 5" xfId="14"/>
    <cellStyle name="20% - 3. jelölőszín 2 6" xfId="15"/>
    <cellStyle name="20% - 3. jelölőszín 3" xfId="116"/>
    <cellStyle name="20% - 3. jelölőszín 4" xfId="117"/>
    <cellStyle name="20% - 3. jelölőszín 5" xfId="118"/>
    <cellStyle name="20% - 3. jelölőszín 6" xfId="119"/>
    <cellStyle name="20% - 3. jelölőszín 7" xfId="120"/>
    <cellStyle name="20% - 3. jelölőszín 8" xfId="121"/>
    <cellStyle name="20% - 3. jelölőszín 9" xfId="122"/>
    <cellStyle name="20% - 4. jelölőszín 10" xfId="123"/>
    <cellStyle name="20% - 4. jelölőszín 11" xfId="124"/>
    <cellStyle name="20% - 4. jelölőszín 12" xfId="125"/>
    <cellStyle name="20% - 4. jelölőszín 13" xfId="126"/>
    <cellStyle name="20% - 4. jelölőszín 14" xfId="127"/>
    <cellStyle name="20% - 4. jelölőszín 15" xfId="128"/>
    <cellStyle name="20% - 4. jelölőszín 2" xfId="129"/>
    <cellStyle name="20% - 4. jelölőszín 2 2" xfId="16"/>
    <cellStyle name="20% - 4. jelölőszín 2 3" xfId="17"/>
    <cellStyle name="20% - 4. jelölőszín 2 4" xfId="18"/>
    <cellStyle name="20% - 4. jelölőszín 2 5" xfId="19"/>
    <cellStyle name="20% - 4. jelölőszín 2 6" xfId="20"/>
    <cellStyle name="20% - 4. jelölőszín 3" xfId="130"/>
    <cellStyle name="20% - 4. jelölőszín 4" xfId="131"/>
    <cellStyle name="20% - 4. jelölőszín 5" xfId="132"/>
    <cellStyle name="20% - 4. jelölőszín 6" xfId="133"/>
    <cellStyle name="20% - 4. jelölőszín 7" xfId="134"/>
    <cellStyle name="20% - 4. jelölőszín 8" xfId="135"/>
    <cellStyle name="20% - 4. jelölőszín 9" xfId="136"/>
    <cellStyle name="20% - 5. jelölőszín 10" xfId="137"/>
    <cellStyle name="20% - 5. jelölőszín 11" xfId="138"/>
    <cellStyle name="20% - 5. jelölőszín 12" xfId="139"/>
    <cellStyle name="20% - 5. jelölőszín 13" xfId="140"/>
    <cellStyle name="20% - 5. jelölőszín 14" xfId="141"/>
    <cellStyle name="20% - 5. jelölőszín 15" xfId="142"/>
    <cellStyle name="20% - 5. jelölőszín 2" xfId="143"/>
    <cellStyle name="20% - 5. jelölőszín 2 2" xfId="21"/>
    <cellStyle name="20% - 5. jelölőszín 2 3" xfId="22"/>
    <cellStyle name="20% - 5. jelölőszín 2 4" xfId="23"/>
    <cellStyle name="20% - 5. jelölőszín 2 5" xfId="24"/>
    <cellStyle name="20% - 5. jelölőszín 2 6" xfId="25"/>
    <cellStyle name="20% - 5. jelölőszín 3" xfId="144"/>
    <cellStyle name="20% - 5. jelölőszín 4" xfId="145"/>
    <cellStyle name="20% - 5. jelölőszín 5" xfId="146"/>
    <cellStyle name="20% - 5. jelölőszín 6" xfId="147"/>
    <cellStyle name="20% - 5. jelölőszín 7" xfId="148"/>
    <cellStyle name="20% - 5. jelölőszín 8" xfId="149"/>
    <cellStyle name="20% - 5. jelölőszín 9" xfId="150"/>
    <cellStyle name="20% - 6. jelölőszín 10" xfId="151"/>
    <cellStyle name="20% - 6. jelölőszín 11" xfId="152"/>
    <cellStyle name="20% - 6. jelölőszín 12" xfId="153"/>
    <cellStyle name="20% - 6. jelölőszín 13" xfId="154"/>
    <cellStyle name="20% - 6. jelölőszín 14" xfId="155"/>
    <cellStyle name="20% - 6. jelölőszín 15" xfId="156"/>
    <cellStyle name="20% - 6. jelölőszín 2" xfId="157"/>
    <cellStyle name="20% - 6. jelölőszín 2 2" xfId="26"/>
    <cellStyle name="20% - 6. jelölőszín 2 3" xfId="27"/>
    <cellStyle name="20% - 6. jelölőszín 2 4" xfId="28"/>
    <cellStyle name="20% - 6. jelölőszín 2 5" xfId="29"/>
    <cellStyle name="20% - 6. jelölőszín 2 6" xfId="30"/>
    <cellStyle name="20% - 6. jelölőszín 3" xfId="158"/>
    <cellStyle name="20% - 6. jelölőszín 4" xfId="159"/>
    <cellStyle name="20% - 6. jelölőszín 5" xfId="160"/>
    <cellStyle name="20% - 6. jelölőszín 6" xfId="161"/>
    <cellStyle name="20% - 6. jelölőszín 7" xfId="162"/>
    <cellStyle name="20% - 6. jelölőszín 8" xfId="163"/>
    <cellStyle name="20% - 6. jelölőszín 9" xfId="164"/>
    <cellStyle name="40% - 1. jelölőszín 10" xfId="165"/>
    <cellStyle name="40% - 1. jelölőszín 11" xfId="166"/>
    <cellStyle name="40% - 1. jelölőszín 12" xfId="167"/>
    <cellStyle name="40% - 1. jelölőszín 13" xfId="168"/>
    <cellStyle name="40% - 1. jelölőszín 14" xfId="169"/>
    <cellStyle name="40% - 1. jelölőszín 15" xfId="170"/>
    <cellStyle name="40% - 1. jelölőszín 2" xfId="171"/>
    <cellStyle name="40% - 1. jelölőszín 2 2" xfId="31"/>
    <cellStyle name="40% - 1. jelölőszín 2 3" xfId="32"/>
    <cellStyle name="40% - 1. jelölőszín 2 4" xfId="33"/>
    <cellStyle name="40% - 1. jelölőszín 2 5" xfId="34"/>
    <cellStyle name="40% - 1. jelölőszín 2 6" xfId="35"/>
    <cellStyle name="40% - 1. jelölőszín 3" xfId="172"/>
    <cellStyle name="40% - 1. jelölőszín 4" xfId="173"/>
    <cellStyle name="40% - 1. jelölőszín 5" xfId="174"/>
    <cellStyle name="40% - 1. jelölőszín 6" xfId="175"/>
    <cellStyle name="40% - 1. jelölőszín 7" xfId="176"/>
    <cellStyle name="40% - 1. jelölőszín 8" xfId="177"/>
    <cellStyle name="40% - 1. jelölőszín 9" xfId="178"/>
    <cellStyle name="40% - 2. jelölőszín 10" xfId="179"/>
    <cellStyle name="40% - 2. jelölőszín 11" xfId="180"/>
    <cellStyle name="40% - 2. jelölőszín 12" xfId="181"/>
    <cellStyle name="40% - 2. jelölőszín 13" xfId="182"/>
    <cellStyle name="40% - 2. jelölőszín 14" xfId="183"/>
    <cellStyle name="40% - 2. jelölőszín 15" xfId="184"/>
    <cellStyle name="40% - 2. jelölőszín 2" xfId="185"/>
    <cellStyle name="40% - 2. jelölőszín 2 2" xfId="36"/>
    <cellStyle name="40% - 2. jelölőszín 2 3" xfId="37"/>
    <cellStyle name="40% - 2. jelölőszín 2 4" xfId="38"/>
    <cellStyle name="40% - 2. jelölőszín 2 5" xfId="39"/>
    <cellStyle name="40% - 2. jelölőszín 2 6" xfId="40"/>
    <cellStyle name="40% - 2. jelölőszín 3" xfId="186"/>
    <cellStyle name="40% - 2. jelölőszín 4" xfId="187"/>
    <cellStyle name="40% - 2. jelölőszín 5" xfId="188"/>
    <cellStyle name="40% - 2. jelölőszín 6" xfId="189"/>
    <cellStyle name="40% - 2. jelölőszín 7" xfId="190"/>
    <cellStyle name="40% - 2. jelölőszín 8" xfId="191"/>
    <cellStyle name="40% - 2. jelölőszín 9" xfId="192"/>
    <cellStyle name="40% - 3. jelölőszín 10" xfId="193"/>
    <cellStyle name="40% - 3. jelölőszín 11" xfId="194"/>
    <cellStyle name="40% - 3. jelölőszín 12" xfId="195"/>
    <cellStyle name="40% - 3. jelölőszín 13" xfId="196"/>
    <cellStyle name="40% - 3. jelölőszín 14" xfId="197"/>
    <cellStyle name="40% - 3. jelölőszín 15" xfId="198"/>
    <cellStyle name="40% - 3. jelölőszín 2" xfId="199"/>
    <cellStyle name="40% - 3. jelölőszín 2 2" xfId="41"/>
    <cellStyle name="40% - 3. jelölőszín 2 3" xfId="42"/>
    <cellStyle name="40% - 3. jelölőszín 2 4" xfId="43"/>
    <cellStyle name="40% - 3. jelölőszín 2 5" xfId="44"/>
    <cellStyle name="40% - 3. jelölőszín 2 6" xfId="45"/>
    <cellStyle name="40% - 3. jelölőszín 3" xfId="200"/>
    <cellStyle name="40% - 3. jelölőszín 4" xfId="201"/>
    <cellStyle name="40% - 3. jelölőszín 5" xfId="202"/>
    <cellStyle name="40% - 3. jelölőszín 6" xfId="203"/>
    <cellStyle name="40% - 3. jelölőszín 7" xfId="204"/>
    <cellStyle name="40% - 3. jelölőszín 8" xfId="205"/>
    <cellStyle name="40% - 3. jelölőszín 9" xfId="206"/>
    <cellStyle name="40% - 4. jelölőszín 10" xfId="207"/>
    <cellStyle name="40% - 4. jelölőszín 11" xfId="208"/>
    <cellStyle name="40% - 4. jelölőszín 12" xfId="209"/>
    <cellStyle name="40% - 4. jelölőszín 13" xfId="210"/>
    <cellStyle name="40% - 4. jelölőszín 14" xfId="211"/>
    <cellStyle name="40% - 4. jelölőszín 15" xfId="212"/>
    <cellStyle name="40% - 4. jelölőszín 2" xfId="213"/>
    <cellStyle name="40% - 4. jelölőszín 2 2" xfId="46"/>
    <cellStyle name="40% - 4. jelölőszín 2 3" xfId="47"/>
    <cellStyle name="40% - 4. jelölőszín 2 4" xfId="48"/>
    <cellStyle name="40% - 4. jelölőszín 2 5" xfId="49"/>
    <cellStyle name="40% - 4. jelölőszín 2 6" xfId="50"/>
    <cellStyle name="40% - 4. jelölőszín 3" xfId="214"/>
    <cellStyle name="40% - 4. jelölőszín 4" xfId="215"/>
    <cellStyle name="40% - 4. jelölőszín 5" xfId="216"/>
    <cellStyle name="40% - 4. jelölőszín 6" xfId="217"/>
    <cellStyle name="40% - 4. jelölőszín 7" xfId="218"/>
    <cellStyle name="40% - 4. jelölőszín 8" xfId="219"/>
    <cellStyle name="40% - 4. jelölőszín 9" xfId="220"/>
    <cellStyle name="40% - 5. jelölőszín 10" xfId="221"/>
    <cellStyle name="40% - 5. jelölőszín 11" xfId="222"/>
    <cellStyle name="40% - 5. jelölőszín 12" xfId="223"/>
    <cellStyle name="40% - 5. jelölőszín 13" xfId="224"/>
    <cellStyle name="40% - 5. jelölőszín 14" xfId="225"/>
    <cellStyle name="40% - 5. jelölőszín 15" xfId="226"/>
    <cellStyle name="40% - 5. jelölőszín 2" xfId="227"/>
    <cellStyle name="40% - 5. jelölőszín 2 2" xfId="51"/>
    <cellStyle name="40% - 5. jelölőszín 2 3" xfId="52"/>
    <cellStyle name="40% - 5. jelölőszín 2 4" xfId="53"/>
    <cellStyle name="40% - 5. jelölőszín 2 5" xfId="54"/>
    <cellStyle name="40% - 5. jelölőszín 2 6" xfId="55"/>
    <cellStyle name="40% - 5. jelölőszín 3" xfId="228"/>
    <cellStyle name="40% - 5. jelölőszín 4" xfId="229"/>
    <cellStyle name="40% - 5. jelölőszín 5" xfId="230"/>
    <cellStyle name="40% - 5. jelölőszín 6" xfId="231"/>
    <cellStyle name="40% - 5. jelölőszín 7" xfId="232"/>
    <cellStyle name="40% - 5. jelölőszín 8" xfId="233"/>
    <cellStyle name="40% - 5. jelölőszín 9" xfId="234"/>
    <cellStyle name="40% - 6. jelölőszín 10" xfId="235"/>
    <cellStyle name="40% - 6. jelölőszín 11" xfId="236"/>
    <cellStyle name="40% - 6. jelölőszín 12" xfId="237"/>
    <cellStyle name="40% - 6. jelölőszín 13" xfId="238"/>
    <cellStyle name="40% - 6. jelölőszín 14" xfId="239"/>
    <cellStyle name="40% - 6. jelölőszín 15" xfId="240"/>
    <cellStyle name="40% - 6. jelölőszín 2" xfId="241"/>
    <cellStyle name="40% - 6. jelölőszín 2 2" xfId="56"/>
    <cellStyle name="40% - 6. jelölőszín 2 3" xfId="57"/>
    <cellStyle name="40% - 6. jelölőszín 2 4" xfId="58"/>
    <cellStyle name="40% - 6. jelölőszín 2 5" xfId="59"/>
    <cellStyle name="40% - 6. jelölőszín 2 6" xfId="60"/>
    <cellStyle name="40% - 6. jelölőszín 3" xfId="242"/>
    <cellStyle name="40% - 6. jelölőszín 4" xfId="243"/>
    <cellStyle name="40% - 6. jelölőszín 5" xfId="244"/>
    <cellStyle name="40% - 6. jelölőszín 6" xfId="245"/>
    <cellStyle name="40% - 6. jelölőszín 7" xfId="246"/>
    <cellStyle name="40% - 6. jelölőszín 8" xfId="247"/>
    <cellStyle name="40% - 6. jelölőszín 9" xfId="248"/>
    <cellStyle name="Ezres" xfId="69" builtinId="3"/>
    <cellStyle name="Ezres 10" xfId="249"/>
    <cellStyle name="Ezres 2" xfId="76"/>
    <cellStyle name="Ezres 2 2" xfId="251"/>
    <cellStyle name="Ezres 2 3" xfId="250"/>
    <cellStyle name="Ezres 3" xfId="252"/>
    <cellStyle name="Ezres 3 2" xfId="253"/>
    <cellStyle name="Ezres 4" xfId="254"/>
    <cellStyle name="Ezres 4 2" xfId="255"/>
    <cellStyle name="Ezres 5" xfId="256"/>
    <cellStyle name="Ezres 5 2" xfId="257"/>
    <cellStyle name="Ezres 6" xfId="258"/>
    <cellStyle name="Ezres 6 2" xfId="259"/>
    <cellStyle name="Ezres 7" xfId="260"/>
    <cellStyle name="Ezres 7 2" xfId="261"/>
    <cellStyle name="Ezres 8" xfId="262"/>
    <cellStyle name="Ezres 9" xfId="263"/>
    <cellStyle name="Jegyzet 10" xfId="264"/>
    <cellStyle name="Jegyzet 11" xfId="265"/>
    <cellStyle name="Jegyzet 12" xfId="266"/>
    <cellStyle name="Jegyzet 13" xfId="267"/>
    <cellStyle name="Jegyzet 14" xfId="268"/>
    <cellStyle name="Jegyzet 15" xfId="269"/>
    <cellStyle name="Jegyzet 2" xfId="270"/>
    <cellStyle name="Jegyzet 2 2" xfId="61"/>
    <cellStyle name="Jegyzet 2 2 10" xfId="272"/>
    <cellStyle name="Jegyzet 2 2 11" xfId="273"/>
    <cellStyle name="Jegyzet 2 2 12" xfId="274"/>
    <cellStyle name="Jegyzet 2 2 13" xfId="275"/>
    <cellStyle name="Jegyzet 2 2 14" xfId="276"/>
    <cellStyle name="Jegyzet 2 2 15" xfId="277"/>
    <cellStyle name="Jegyzet 2 2 16" xfId="278"/>
    <cellStyle name="Jegyzet 2 2 17" xfId="279"/>
    <cellStyle name="Jegyzet 2 2 18" xfId="280"/>
    <cellStyle name="Jegyzet 2 2 19" xfId="281"/>
    <cellStyle name="Jegyzet 2 2 2" xfId="282"/>
    <cellStyle name="Jegyzet 2 2 20" xfId="283"/>
    <cellStyle name="Jegyzet 2 2 21" xfId="284"/>
    <cellStyle name="Jegyzet 2 2 22" xfId="285"/>
    <cellStyle name="Jegyzet 2 2 23" xfId="271"/>
    <cellStyle name="Jegyzet 2 2 3" xfId="286"/>
    <cellStyle name="Jegyzet 2 2 4" xfId="287"/>
    <cellStyle name="Jegyzet 2 2 5" xfId="288"/>
    <cellStyle name="Jegyzet 2 2 6" xfId="289"/>
    <cellStyle name="Jegyzet 2 2 7" xfId="290"/>
    <cellStyle name="Jegyzet 2 2 8" xfId="291"/>
    <cellStyle name="Jegyzet 2 2 9" xfId="292"/>
    <cellStyle name="Jegyzet 2 2_fv_tabla_befalap2007(1)" xfId="293"/>
    <cellStyle name="Jegyzet 2 3" xfId="62"/>
    <cellStyle name="Jegyzet 2 3 10" xfId="295"/>
    <cellStyle name="Jegyzet 2 3 11" xfId="296"/>
    <cellStyle name="Jegyzet 2 3 12" xfId="297"/>
    <cellStyle name="Jegyzet 2 3 13" xfId="298"/>
    <cellStyle name="Jegyzet 2 3 14" xfId="299"/>
    <cellStyle name="Jegyzet 2 3 15" xfId="300"/>
    <cellStyle name="Jegyzet 2 3 16" xfId="301"/>
    <cellStyle name="Jegyzet 2 3 17" xfId="302"/>
    <cellStyle name="Jegyzet 2 3 18" xfId="303"/>
    <cellStyle name="Jegyzet 2 3 19" xfId="304"/>
    <cellStyle name="Jegyzet 2 3 2" xfId="305"/>
    <cellStyle name="Jegyzet 2 3 20" xfId="306"/>
    <cellStyle name="Jegyzet 2 3 21" xfId="307"/>
    <cellStyle name="Jegyzet 2 3 22" xfId="308"/>
    <cellStyle name="Jegyzet 2 3 23" xfId="294"/>
    <cellStyle name="Jegyzet 2 3 3" xfId="309"/>
    <cellStyle name="Jegyzet 2 3 4" xfId="310"/>
    <cellStyle name="Jegyzet 2 3 5" xfId="311"/>
    <cellStyle name="Jegyzet 2 3 6" xfId="312"/>
    <cellStyle name="Jegyzet 2 3 7" xfId="313"/>
    <cellStyle name="Jegyzet 2 3 8" xfId="314"/>
    <cellStyle name="Jegyzet 2 3 9" xfId="315"/>
    <cellStyle name="Jegyzet 2 3_fv_tabla_befalap2007(1)" xfId="316"/>
    <cellStyle name="Jegyzet 2 4" xfId="63"/>
    <cellStyle name="Jegyzet 2 4 10" xfId="318"/>
    <cellStyle name="Jegyzet 2 4 11" xfId="319"/>
    <cellStyle name="Jegyzet 2 4 12" xfId="320"/>
    <cellStyle name="Jegyzet 2 4 13" xfId="321"/>
    <cellStyle name="Jegyzet 2 4 14" xfId="322"/>
    <cellStyle name="Jegyzet 2 4 15" xfId="323"/>
    <cellStyle name="Jegyzet 2 4 16" xfId="324"/>
    <cellStyle name="Jegyzet 2 4 17" xfId="325"/>
    <cellStyle name="Jegyzet 2 4 18" xfId="326"/>
    <cellStyle name="Jegyzet 2 4 19" xfId="327"/>
    <cellStyle name="Jegyzet 2 4 2" xfId="328"/>
    <cellStyle name="Jegyzet 2 4 20" xfId="329"/>
    <cellStyle name="Jegyzet 2 4 21" xfId="330"/>
    <cellStyle name="Jegyzet 2 4 22" xfId="331"/>
    <cellStyle name="Jegyzet 2 4 23" xfId="317"/>
    <cellStyle name="Jegyzet 2 4 3" xfId="332"/>
    <cellStyle name="Jegyzet 2 4 4" xfId="333"/>
    <cellStyle name="Jegyzet 2 4 5" xfId="334"/>
    <cellStyle name="Jegyzet 2 4 6" xfId="335"/>
    <cellStyle name="Jegyzet 2 4 7" xfId="336"/>
    <cellStyle name="Jegyzet 2 4 8" xfId="337"/>
    <cellStyle name="Jegyzet 2 4 9" xfId="338"/>
    <cellStyle name="Jegyzet 2 4_fv_tabla_befalap2007(1)" xfId="339"/>
    <cellStyle name="Jegyzet 2 5" xfId="64"/>
    <cellStyle name="Jegyzet 2 5 10" xfId="341"/>
    <cellStyle name="Jegyzet 2 5 11" xfId="342"/>
    <cellStyle name="Jegyzet 2 5 12" xfId="343"/>
    <cellStyle name="Jegyzet 2 5 13" xfId="344"/>
    <cellStyle name="Jegyzet 2 5 14" xfId="345"/>
    <cellStyle name="Jegyzet 2 5 15" xfId="346"/>
    <cellStyle name="Jegyzet 2 5 16" xfId="347"/>
    <cellStyle name="Jegyzet 2 5 17" xfId="348"/>
    <cellStyle name="Jegyzet 2 5 18" xfId="349"/>
    <cellStyle name="Jegyzet 2 5 19" xfId="350"/>
    <cellStyle name="Jegyzet 2 5 2" xfId="351"/>
    <cellStyle name="Jegyzet 2 5 20" xfId="352"/>
    <cellStyle name="Jegyzet 2 5 21" xfId="353"/>
    <cellStyle name="Jegyzet 2 5 22" xfId="354"/>
    <cellStyle name="Jegyzet 2 5 23" xfId="340"/>
    <cellStyle name="Jegyzet 2 5 3" xfId="355"/>
    <cellStyle name="Jegyzet 2 5 4" xfId="356"/>
    <cellStyle name="Jegyzet 2 5 5" xfId="357"/>
    <cellStyle name="Jegyzet 2 5 6" xfId="358"/>
    <cellStyle name="Jegyzet 2 5 7" xfId="359"/>
    <cellStyle name="Jegyzet 2 5 8" xfId="360"/>
    <cellStyle name="Jegyzet 2 5 9" xfId="361"/>
    <cellStyle name="Jegyzet 2 5_fv_tabla_befalap2007(1)" xfId="362"/>
    <cellStyle name="Jegyzet 2 6" xfId="65"/>
    <cellStyle name="Jegyzet 2 6 10" xfId="364"/>
    <cellStyle name="Jegyzet 2 6 11" xfId="365"/>
    <cellStyle name="Jegyzet 2 6 12" xfId="366"/>
    <cellStyle name="Jegyzet 2 6 13" xfId="367"/>
    <cellStyle name="Jegyzet 2 6 14" xfId="368"/>
    <cellStyle name="Jegyzet 2 6 15" xfId="369"/>
    <cellStyle name="Jegyzet 2 6 16" xfId="370"/>
    <cellStyle name="Jegyzet 2 6 17" xfId="371"/>
    <cellStyle name="Jegyzet 2 6 18" xfId="372"/>
    <cellStyle name="Jegyzet 2 6 19" xfId="373"/>
    <cellStyle name="Jegyzet 2 6 2" xfId="374"/>
    <cellStyle name="Jegyzet 2 6 20" xfId="375"/>
    <cellStyle name="Jegyzet 2 6 21" xfId="376"/>
    <cellStyle name="Jegyzet 2 6 22" xfId="377"/>
    <cellStyle name="Jegyzet 2 6 23" xfId="363"/>
    <cellStyle name="Jegyzet 2 6 3" xfId="378"/>
    <cellStyle name="Jegyzet 2 6 4" xfId="379"/>
    <cellStyle name="Jegyzet 2 6 5" xfId="380"/>
    <cellStyle name="Jegyzet 2 6 6" xfId="381"/>
    <cellStyle name="Jegyzet 2 6 7" xfId="382"/>
    <cellStyle name="Jegyzet 2 6 8" xfId="383"/>
    <cellStyle name="Jegyzet 2 6 9" xfId="384"/>
    <cellStyle name="Jegyzet 2 6_fv_tabla_befalap2007(1)" xfId="385"/>
    <cellStyle name="Jegyzet 3" xfId="386"/>
    <cellStyle name="Jegyzet 4" xfId="387"/>
    <cellStyle name="Jegyzet 5" xfId="388"/>
    <cellStyle name="Jegyzet 6" xfId="389"/>
    <cellStyle name="Jegyzet 7" xfId="390"/>
    <cellStyle name="Jegyzet 8" xfId="391"/>
    <cellStyle name="Jegyzet 9" xfId="392"/>
    <cellStyle name="Normál" xfId="0" builtinId="0"/>
    <cellStyle name="Normal 2" xfId="393"/>
    <cellStyle name="Normál 2" xfId="66"/>
    <cellStyle name="Normál 2 2" xfId="67"/>
    <cellStyle name="Normal 3" xfId="394"/>
    <cellStyle name="Normál 3" xfId="72"/>
    <cellStyle name="Normál 3 2" xfId="395"/>
    <cellStyle name="Normal 4" xfId="396"/>
    <cellStyle name="Normál 4" xfId="397"/>
    <cellStyle name="Normal 5" xfId="398"/>
    <cellStyle name="Normál 5" xfId="71"/>
    <cellStyle name="Normál 8" xfId="73"/>
    <cellStyle name="Normál_46" xfId="74"/>
    <cellStyle name="Normal_F1" xfId="399"/>
    <cellStyle name="Normál_M50C_egyeztetett_50EO vált" xfId="77"/>
    <cellStyle name="Normal_Napi-lap" xfId="400"/>
    <cellStyle name="Normál_TER2013" xfId="75"/>
    <cellStyle name="Normal_transaction list" xfId="401"/>
    <cellStyle name="Normál_új 50C tábla" xfId="78"/>
    <cellStyle name="Pénznem" xfId="70" builtinId="4"/>
    <cellStyle name="Pénznem 2" xfId="403"/>
    <cellStyle name="Pénznem 3" xfId="402"/>
    <cellStyle name="Százalék" xfId="68" builtinId="5"/>
    <cellStyle name="Százalék 2" xfId="405"/>
    <cellStyle name="Százalék 2 2" xfId="406"/>
    <cellStyle name="Százalék 3" xfId="407"/>
    <cellStyle name="Százalék 4" xfId="40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1">
    <pageSetUpPr fitToPage="1"/>
  </sheetPr>
  <dimension ref="A1:AQ569"/>
  <sheetViews>
    <sheetView workbookViewId="0">
      <pane xSplit="1" ySplit="3" topLeftCell="AI4" activePane="bottomRight" state="frozen"/>
      <selection pane="topRight" activeCell="B1" sqref="B1"/>
      <selection pane="bottomLeft" activeCell="A4" sqref="A4"/>
      <selection pane="bottomRight" activeCell="AJ41" sqref="AJ41"/>
    </sheetView>
  </sheetViews>
  <sheetFormatPr defaultRowHeight="12.75"/>
  <cols>
    <col min="1" max="1" width="85.7109375" style="226" bestFit="1" customWidth="1"/>
    <col min="2" max="3" width="15.5703125" style="121" customWidth="1"/>
    <col min="4" max="4" width="11.5703125" style="121" customWidth="1"/>
    <col min="5" max="5" width="26.42578125" style="121" customWidth="1"/>
    <col min="6" max="6" width="31.28515625" style="121" customWidth="1"/>
    <col min="7" max="7" width="32.28515625" style="121" customWidth="1"/>
    <col min="8" max="8" width="23.42578125" style="121" customWidth="1"/>
    <col min="9" max="9" width="9.42578125" style="121" customWidth="1"/>
    <col min="10" max="10" width="17.28515625" style="177" customWidth="1"/>
    <col min="11" max="11" width="21.7109375" style="177" customWidth="1"/>
    <col min="12" max="12" width="17.7109375" style="121" customWidth="1"/>
    <col min="13" max="14" width="13.5703125" style="121" customWidth="1"/>
    <col min="15" max="17" width="23.5703125" style="229" customWidth="1"/>
    <col min="18" max="20" width="23.5703125" style="123" customWidth="1"/>
    <col min="21" max="21" width="20.140625" style="177" bestFit="1" customWidth="1"/>
    <col min="22" max="22" width="14.42578125" style="177" bestFit="1" customWidth="1"/>
    <col min="23" max="23" width="21.28515625" style="177" bestFit="1" customWidth="1"/>
    <col min="24" max="24" width="22.28515625" style="177" bestFit="1" customWidth="1"/>
    <col min="25" max="25" width="14.42578125" style="177" bestFit="1" customWidth="1"/>
    <col min="26" max="26" width="23.7109375" style="177" customWidth="1"/>
    <col min="27" max="27" width="14.42578125" style="177" bestFit="1" customWidth="1"/>
    <col min="28" max="28" width="23.42578125" style="177" bestFit="1" customWidth="1"/>
    <col min="29" max="29" width="23.28515625" style="177" customWidth="1"/>
    <col min="30" max="30" width="24.5703125" style="177" bestFit="1" customWidth="1"/>
    <col min="31" max="31" width="26.140625" style="177" bestFit="1" customWidth="1"/>
    <col min="32" max="32" width="11.28515625" style="177" bestFit="1" customWidth="1"/>
    <col min="33" max="33" width="22.5703125" style="177" bestFit="1" customWidth="1"/>
    <col min="34" max="34" width="19.42578125" style="177" bestFit="1" customWidth="1"/>
    <col min="35" max="35" width="22.42578125" style="121" customWidth="1"/>
    <col min="36" max="36" width="18.5703125" style="121" customWidth="1"/>
    <col min="37" max="37" width="19.28515625" style="177" customWidth="1"/>
    <col min="38" max="38" width="9.140625" style="226"/>
    <col min="39" max="39" width="10.140625" style="226" bestFit="1" customWidth="1"/>
    <col min="40" max="40" width="9.28515625" style="226" bestFit="1" customWidth="1"/>
    <col min="41" max="41" width="9.28515625" style="226" customWidth="1"/>
    <col min="42" max="42" width="11.5703125" style="226" bestFit="1" customWidth="1"/>
    <col min="43" max="16384" width="9.140625" style="226"/>
  </cols>
  <sheetData>
    <row r="1" spans="1:43">
      <c r="A1" s="793" t="s">
        <v>1192</v>
      </c>
      <c r="B1" s="794"/>
      <c r="C1" s="794"/>
      <c r="D1" s="794"/>
      <c r="E1" s="794"/>
      <c r="F1" s="794"/>
      <c r="G1" s="794"/>
      <c r="H1" s="794"/>
      <c r="I1" s="795"/>
      <c r="J1" s="793" t="s">
        <v>23</v>
      </c>
      <c r="K1" s="794"/>
      <c r="L1" s="794"/>
      <c r="M1" s="794"/>
      <c r="N1" s="794"/>
      <c r="O1" s="796" t="s">
        <v>24</v>
      </c>
      <c r="P1" s="797"/>
      <c r="Q1" s="797"/>
      <c r="R1" s="797"/>
      <c r="S1" s="798"/>
      <c r="T1" s="799"/>
      <c r="U1" s="800" t="s">
        <v>3</v>
      </c>
      <c r="V1" s="801"/>
      <c r="W1" s="801"/>
      <c r="X1" s="801"/>
      <c r="Y1" s="801"/>
      <c r="Z1" s="801"/>
      <c r="AA1" s="801"/>
      <c r="AB1" s="801"/>
      <c r="AC1" s="801"/>
      <c r="AD1" s="801"/>
      <c r="AE1" s="801"/>
      <c r="AF1" s="801"/>
      <c r="AG1" s="801"/>
      <c r="AH1" s="802"/>
      <c r="AI1" s="120" t="s">
        <v>14</v>
      </c>
      <c r="AJ1" s="120" t="s">
        <v>15</v>
      </c>
      <c r="AK1" s="202" t="s">
        <v>12</v>
      </c>
    </row>
    <row r="2" spans="1:43" ht="89.25">
      <c r="A2" s="6" t="s">
        <v>20</v>
      </c>
      <c r="B2" s="7" t="s">
        <v>21</v>
      </c>
      <c r="C2" s="7" t="s">
        <v>83</v>
      </c>
      <c r="D2" s="7" t="s">
        <v>7</v>
      </c>
      <c r="E2" s="7" t="s">
        <v>6</v>
      </c>
      <c r="F2" s="7" t="s">
        <v>8</v>
      </c>
      <c r="G2" s="7" t="s">
        <v>9</v>
      </c>
      <c r="H2" s="7" t="s">
        <v>10</v>
      </c>
      <c r="I2" s="1" t="s">
        <v>1</v>
      </c>
      <c r="J2" s="30" t="s">
        <v>22</v>
      </c>
      <c r="K2" s="30" t="s">
        <v>39</v>
      </c>
      <c r="L2" s="7" t="s">
        <v>4</v>
      </c>
      <c r="M2" s="7" t="s">
        <v>40</v>
      </c>
      <c r="N2" s="7" t="s">
        <v>41</v>
      </c>
      <c r="O2" s="7" t="s">
        <v>2</v>
      </c>
      <c r="P2" s="7" t="s">
        <v>5</v>
      </c>
      <c r="Q2" s="7" t="s">
        <v>19</v>
      </c>
      <c r="R2" s="7" t="s">
        <v>0</v>
      </c>
      <c r="S2" s="7" t="s">
        <v>16</v>
      </c>
      <c r="T2" s="7" t="s">
        <v>17</v>
      </c>
      <c r="U2" s="34" t="s">
        <v>25</v>
      </c>
      <c r="V2" s="34" t="s">
        <v>26</v>
      </c>
      <c r="W2" s="34" t="s">
        <v>27</v>
      </c>
      <c r="X2" s="34" t="s">
        <v>28</v>
      </c>
      <c r="Y2" s="34" t="s">
        <v>29</v>
      </c>
      <c r="Z2" s="34" t="s">
        <v>30</v>
      </c>
      <c r="AA2" s="34" t="s">
        <v>31</v>
      </c>
      <c r="AB2" s="34" t="s">
        <v>32</v>
      </c>
      <c r="AC2" s="34" t="s">
        <v>33</v>
      </c>
      <c r="AD2" s="34" t="s">
        <v>34</v>
      </c>
      <c r="AE2" s="34" t="s">
        <v>35</v>
      </c>
      <c r="AF2" s="34" t="s">
        <v>36</v>
      </c>
      <c r="AG2" s="34" t="s">
        <v>37</v>
      </c>
      <c r="AH2" s="34" t="s">
        <v>38</v>
      </c>
      <c r="AI2" s="8" t="s">
        <v>18</v>
      </c>
      <c r="AJ2" s="3" t="s">
        <v>11</v>
      </c>
      <c r="AK2" s="30" t="s">
        <v>13</v>
      </c>
      <c r="AP2" s="226" t="s">
        <v>1362</v>
      </c>
      <c r="AQ2" s="226" t="s">
        <v>1363</v>
      </c>
    </row>
    <row r="3" spans="1:43" s="227" customFormat="1" ht="19.5" customHeight="1">
      <c r="A3" s="27">
        <v>11</v>
      </c>
      <c r="B3" s="2">
        <v>12</v>
      </c>
      <c r="C3" s="2"/>
      <c r="D3" s="2">
        <v>13</v>
      </c>
      <c r="E3" s="2">
        <v>14</v>
      </c>
      <c r="F3" s="2">
        <v>15</v>
      </c>
      <c r="G3" s="2">
        <v>16</v>
      </c>
      <c r="H3" s="2">
        <v>17</v>
      </c>
      <c r="I3" s="2">
        <v>18</v>
      </c>
      <c r="J3" s="30">
        <v>2</v>
      </c>
      <c r="K3" s="30">
        <v>3</v>
      </c>
      <c r="L3" s="2">
        <v>31</v>
      </c>
      <c r="M3" s="2">
        <v>4</v>
      </c>
      <c r="N3" s="2">
        <v>41</v>
      </c>
      <c r="O3" s="2">
        <v>51</v>
      </c>
      <c r="P3" s="2">
        <v>52</v>
      </c>
      <c r="Q3" s="2">
        <v>521</v>
      </c>
      <c r="R3" s="2">
        <v>53</v>
      </c>
      <c r="S3" s="2">
        <v>54</v>
      </c>
      <c r="T3" s="2">
        <v>6</v>
      </c>
      <c r="U3" s="34">
        <v>7</v>
      </c>
      <c r="V3" s="34">
        <v>711</v>
      </c>
      <c r="W3" s="34">
        <v>712</v>
      </c>
      <c r="X3" s="34">
        <v>713</v>
      </c>
      <c r="Y3" s="34">
        <v>714</v>
      </c>
      <c r="Z3" s="34">
        <v>715</v>
      </c>
      <c r="AA3" s="34">
        <v>716</v>
      </c>
      <c r="AB3" s="34">
        <v>717</v>
      </c>
      <c r="AC3" s="34">
        <v>718</v>
      </c>
      <c r="AD3" s="34">
        <v>721</v>
      </c>
      <c r="AE3" s="34">
        <v>7211</v>
      </c>
      <c r="AF3" s="34">
        <v>722</v>
      </c>
      <c r="AG3" s="34">
        <v>723</v>
      </c>
      <c r="AH3" s="34">
        <v>73</v>
      </c>
      <c r="AI3" s="5">
        <v>8</v>
      </c>
      <c r="AJ3" s="4">
        <v>9</v>
      </c>
      <c r="AK3" s="34">
        <v>10</v>
      </c>
    </row>
    <row r="4" spans="1:43">
      <c r="A4" s="226" t="s">
        <v>75</v>
      </c>
      <c r="B4" s="121" t="s">
        <v>42</v>
      </c>
      <c r="C4" s="121" t="s">
        <v>85</v>
      </c>
      <c r="D4" s="121" t="s">
        <v>43</v>
      </c>
      <c r="E4" s="121" t="s">
        <v>44</v>
      </c>
      <c r="F4" s="121" t="s">
        <v>1348</v>
      </c>
      <c r="G4" s="121" t="s">
        <v>81</v>
      </c>
      <c r="H4" s="121" t="s">
        <v>45</v>
      </c>
      <c r="I4" s="121" t="s">
        <v>46</v>
      </c>
      <c r="J4" s="177">
        <v>3687865414.3548388</v>
      </c>
      <c r="M4" s="122">
        <v>4.07E-2</v>
      </c>
      <c r="N4" s="122">
        <v>5.7099999999999998E-2</v>
      </c>
      <c r="O4" s="228">
        <v>8.9999999999999993E-3</v>
      </c>
      <c r="R4" s="123">
        <v>1.1000000000000001E-3</v>
      </c>
      <c r="S4" s="230">
        <v>2.5000000000000001E-4</v>
      </c>
      <c r="U4" s="177">
        <f>+V4+V5+Y4+Z4+AA4+AF4+AH4</f>
        <v>103423875</v>
      </c>
      <c r="V4" s="231">
        <v>33238295</v>
      </c>
      <c r="Y4" s="177">
        <v>15021081</v>
      </c>
      <c r="Z4" s="177">
        <f>1094853+975360</f>
        <v>2070213</v>
      </c>
      <c r="AA4" s="177">
        <v>3388000</v>
      </c>
      <c r="AB4" s="177">
        <v>0</v>
      </c>
      <c r="AF4" s="177">
        <v>132918</v>
      </c>
      <c r="AH4" s="177">
        <f>285352</f>
        <v>285352</v>
      </c>
      <c r="AJ4" s="122">
        <v>1.0558930477093777E-2</v>
      </c>
      <c r="AL4" s="121"/>
      <c r="AO4" s="424">
        <f>+SUM(V4:AD4)+AF4+AG4+AH4</f>
        <v>54135859</v>
      </c>
      <c r="AP4" s="275">
        <f>+AO4/J4</f>
        <v>1.4679456248397452E-2</v>
      </c>
      <c r="AQ4" s="275"/>
    </row>
    <row r="5" spans="1:43">
      <c r="A5" s="226" t="s">
        <v>76</v>
      </c>
      <c r="B5" s="121" t="s">
        <v>47</v>
      </c>
      <c r="C5" s="121" t="s">
        <v>85</v>
      </c>
      <c r="D5" s="121" t="s">
        <v>43</v>
      </c>
      <c r="E5" s="121" t="s">
        <v>44</v>
      </c>
      <c r="F5" s="121" t="s">
        <v>1348</v>
      </c>
      <c r="G5" s="121" t="s">
        <v>81</v>
      </c>
      <c r="H5" s="121" t="s">
        <v>45</v>
      </c>
      <c r="I5" s="121" t="s">
        <v>46</v>
      </c>
      <c r="J5" s="177">
        <v>9863676696.532259</v>
      </c>
      <c r="M5" s="122">
        <v>4.4900000000000002E-2</v>
      </c>
      <c r="N5" s="122">
        <v>5.7099999999999998E-2</v>
      </c>
      <c r="O5" s="228">
        <v>5.0000000000000001E-3</v>
      </c>
      <c r="R5" s="123">
        <v>1.1000000000000001E-3</v>
      </c>
      <c r="S5" s="230">
        <v>2.5000000000000001E-4</v>
      </c>
      <c r="V5" s="231">
        <v>49288016</v>
      </c>
      <c r="AJ5" s="122">
        <v>6.5380780922273032E-3</v>
      </c>
      <c r="AL5" s="121"/>
      <c r="AO5" s="424">
        <f>+SUM(V5:AD5)+AF5+AG5+AH5</f>
        <v>49288016</v>
      </c>
      <c r="AP5" s="275">
        <f>+AO5/J5</f>
        <v>4.9969212816279784E-3</v>
      </c>
    </row>
    <row r="6" spans="1:43">
      <c r="A6" s="226" t="s">
        <v>49</v>
      </c>
      <c r="B6" s="121" t="s">
        <v>50</v>
      </c>
      <c r="C6" s="121" t="s">
        <v>85</v>
      </c>
      <c r="D6" s="121" t="s">
        <v>43</v>
      </c>
      <c r="E6" s="121" t="s">
        <v>44</v>
      </c>
      <c r="F6" s="121" t="s">
        <v>1348</v>
      </c>
      <c r="G6" s="121" t="s">
        <v>48</v>
      </c>
      <c r="H6" s="121" t="s">
        <v>45</v>
      </c>
      <c r="I6" s="121" t="s">
        <v>46</v>
      </c>
      <c r="J6" s="177">
        <v>4834788957.1653223</v>
      </c>
      <c r="M6" s="122">
        <v>8.2699999999999996E-2</v>
      </c>
      <c r="N6" s="122">
        <v>0.1003</v>
      </c>
      <c r="O6" s="228">
        <v>1.0999999999999999E-2</v>
      </c>
      <c r="R6" s="123">
        <v>1.1999999999999999E-3</v>
      </c>
      <c r="S6" s="230">
        <v>2.5000000000000001E-4</v>
      </c>
      <c r="U6" s="177">
        <f>+V6+V7+Y6+Z6+AA6+AF6+AH6</f>
        <v>75147788.579999998</v>
      </c>
      <c r="V6" s="231">
        <v>53408886</v>
      </c>
      <c r="Y6" s="177">
        <v>7895628</v>
      </c>
      <c r="Z6" s="177">
        <f>1120525+640080</f>
        <v>1760605</v>
      </c>
      <c r="AA6" s="177">
        <v>1633000</v>
      </c>
      <c r="AF6" s="177">
        <v>153387.57999999999</v>
      </c>
      <c r="AH6" s="177">
        <v>230988</v>
      </c>
      <c r="AJ6" s="122">
        <v>1.2839512895504489E-2</v>
      </c>
      <c r="AL6" s="121"/>
    </row>
    <row r="7" spans="1:43">
      <c r="A7" s="226" t="s">
        <v>51</v>
      </c>
      <c r="B7" s="121" t="s">
        <v>52</v>
      </c>
      <c r="C7" s="121" t="s">
        <v>85</v>
      </c>
      <c r="D7" s="121" t="s">
        <v>43</v>
      </c>
      <c r="E7" s="121" t="s">
        <v>44</v>
      </c>
      <c r="F7" s="121" t="s">
        <v>1348</v>
      </c>
      <c r="G7" s="121" t="s">
        <v>48</v>
      </c>
      <c r="H7" s="121" t="s">
        <v>45</v>
      </c>
      <c r="I7" s="121" t="s">
        <v>46</v>
      </c>
      <c r="J7" s="177">
        <v>1676865486.2903225</v>
      </c>
      <c r="M7" s="122">
        <v>8.8200000000000001E-2</v>
      </c>
      <c r="N7" s="122">
        <v>0.1003</v>
      </c>
      <c r="O7" s="228">
        <v>6.0000000000000001E-3</v>
      </c>
      <c r="R7" s="123">
        <v>1.1999999999999999E-3</v>
      </c>
      <c r="S7" s="230">
        <v>2.5000000000000001E-4</v>
      </c>
      <c r="V7" s="177">
        <v>10065294</v>
      </c>
      <c r="AJ7" s="122">
        <v>7.7951711239228356E-3</v>
      </c>
      <c r="AL7" s="121"/>
    </row>
    <row r="8" spans="1:43" s="425" customFormat="1">
      <c r="A8" s="425" t="s">
        <v>53</v>
      </c>
      <c r="B8" s="426" t="s">
        <v>54</v>
      </c>
      <c r="C8" s="426" t="s">
        <v>85</v>
      </c>
      <c r="D8" s="426" t="s">
        <v>43</v>
      </c>
      <c r="E8" s="426" t="s">
        <v>44</v>
      </c>
      <c r="F8" s="426" t="s">
        <v>55</v>
      </c>
      <c r="G8" s="426" t="s">
        <v>56</v>
      </c>
      <c r="H8" s="426" t="s">
        <v>45</v>
      </c>
      <c r="I8" s="426" t="s">
        <v>46</v>
      </c>
      <c r="J8" s="427">
        <v>74644408.241692811</v>
      </c>
      <c r="K8" s="427"/>
      <c r="L8" s="426"/>
      <c r="M8" s="428"/>
      <c r="N8" s="428"/>
      <c r="O8" s="429">
        <v>1.8E-3</v>
      </c>
      <c r="P8" s="430"/>
      <c r="Q8" s="430"/>
      <c r="R8" s="431">
        <v>8.0000000000000004E-4</v>
      </c>
      <c r="S8" s="432">
        <v>2.5000000000000001E-4</v>
      </c>
      <c r="T8" s="431"/>
      <c r="U8" s="427">
        <f>+V8+Y8+Z8+AA8+AF8+AH8</f>
        <v>1087332</v>
      </c>
      <c r="V8" s="433"/>
      <c r="W8" s="427"/>
      <c r="X8" s="427"/>
      <c r="Y8" s="427">
        <v>60147</v>
      </c>
      <c r="Z8" s="427">
        <f>517956+325915</f>
        <v>843871</v>
      </c>
      <c r="AA8" s="427">
        <v>19588</v>
      </c>
      <c r="AB8" s="427"/>
      <c r="AC8" s="427"/>
      <c r="AD8" s="427"/>
      <c r="AE8" s="427"/>
      <c r="AF8" s="427">
        <v>11216</v>
      </c>
      <c r="AG8" s="427"/>
      <c r="AH8" s="427">
        <v>152510</v>
      </c>
      <c r="AI8" s="426"/>
      <c r="AJ8" s="428"/>
      <c r="AK8" s="427"/>
      <c r="AL8" s="426"/>
    </row>
    <row r="9" spans="1:43">
      <c r="A9" s="226" t="s">
        <v>77</v>
      </c>
      <c r="B9" s="121" t="s">
        <v>57</v>
      </c>
      <c r="C9" s="121" t="s">
        <v>85</v>
      </c>
      <c r="D9" s="121" t="s">
        <v>43</v>
      </c>
      <c r="E9" s="121" t="s">
        <v>44</v>
      </c>
      <c r="F9" s="121" t="s">
        <v>1349</v>
      </c>
      <c r="G9" s="121" t="s">
        <v>58</v>
      </c>
      <c r="H9" s="121" t="s">
        <v>45</v>
      </c>
      <c r="I9" s="121" t="s">
        <v>46</v>
      </c>
      <c r="J9" s="177">
        <v>490018237.625</v>
      </c>
      <c r="M9" s="122">
        <v>1.7999999999999999E-2</v>
      </c>
      <c r="N9" s="122">
        <v>2.1499999999999998E-2</v>
      </c>
      <c r="O9" s="228">
        <v>1.4E-2</v>
      </c>
      <c r="R9" s="123">
        <v>1.1999999999999999E-3</v>
      </c>
      <c r="S9" s="230">
        <v>2.5000000000000001E-4</v>
      </c>
      <c r="U9" s="177">
        <f>+V9+Y9+Z9+AA9+AF9+AH9</f>
        <v>9539440.0199999996</v>
      </c>
      <c r="V9" s="231">
        <v>6882113</v>
      </c>
      <c r="Y9" s="177">
        <v>591348</v>
      </c>
      <c r="Z9" s="177">
        <f>749303+640080</f>
        <v>1389383</v>
      </c>
      <c r="AA9" s="177">
        <v>123000</v>
      </c>
      <c r="AF9" s="177">
        <v>206489.02</v>
      </c>
      <c r="AH9" s="177">
        <f>987187-640080</f>
        <v>347107</v>
      </c>
      <c r="AJ9" s="122">
        <v>1.95E-2</v>
      </c>
      <c r="AL9" s="121"/>
    </row>
    <row r="10" spans="1:43">
      <c r="A10" s="226" t="s">
        <v>59</v>
      </c>
      <c r="B10" s="121" t="s">
        <v>60</v>
      </c>
      <c r="C10" s="121" t="s">
        <v>85</v>
      </c>
      <c r="D10" s="121" t="s">
        <v>43</v>
      </c>
      <c r="E10" s="121" t="s">
        <v>44</v>
      </c>
      <c r="F10" s="121" t="s">
        <v>55</v>
      </c>
      <c r="G10" s="121" t="s">
        <v>61</v>
      </c>
      <c r="H10" s="121" t="s">
        <v>62</v>
      </c>
      <c r="I10" s="121" t="s">
        <v>46</v>
      </c>
      <c r="J10" s="177">
        <v>85293197.665322587</v>
      </c>
      <c r="M10" s="122">
        <v>2.5000000000000001E-2</v>
      </c>
      <c r="N10" s="122"/>
      <c r="O10" s="228">
        <v>1.7500000000000002E-2</v>
      </c>
      <c r="R10" s="123">
        <v>1E-3</v>
      </c>
      <c r="S10" s="230">
        <v>2.5000000000000001E-4</v>
      </c>
      <c r="U10" s="177">
        <f>+V10+V11+Y10+Z10+AA10+AF10+AH10</f>
        <v>11668206.306993</v>
      </c>
      <c r="V10" s="231">
        <v>1512657.8688449999</v>
      </c>
      <c r="Y10" s="177">
        <v>787447</v>
      </c>
      <c r="Z10" s="177">
        <f>578136+1194290</f>
        <v>1772426</v>
      </c>
      <c r="AA10" s="177">
        <v>191329</v>
      </c>
      <c r="AF10" s="177">
        <f>352967+129759</f>
        <v>482726</v>
      </c>
      <c r="AH10" s="177">
        <v>147630</v>
      </c>
      <c r="AI10" s="123">
        <v>3.7000000000000002E-3</v>
      </c>
      <c r="AJ10" s="123">
        <v>2.5876861969310258E-2</v>
      </c>
      <c r="AL10" s="121"/>
    </row>
    <row r="11" spans="1:43">
      <c r="A11" s="226" t="s">
        <v>63</v>
      </c>
      <c r="B11" s="121" t="s">
        <v>64</v>
      </c>
      <c r="C11" s="121" t="s">
        <v>85</v>
      </c>
      <c r="D11" s="121" t="s">
        <v>43</v>
      </c>
      <c r="E11" s="121" t="s">
        <v>44</v>
      </c>
      <c r="F11" s="121" t="s">
        <v>55</v>
      </c>
      <c r="G11" s="121" t="s">
        <v>61</v>
      </c>
      <c r="H11" s="121" t="s">
        <v>62</v>
      </c>
      <c r="I11" s="121" t="s">
        <v>46</v>
      </c>
      <c r="J11" s="177">
        <v>675965564.6774193</v>
      </c>
      <c r="M11" s="122">
        <v>3.2800000000000003E-2</v>
      </c>
      <c r="N11" s="122"/>
      <c r="O11" s="228">
        <v>0.01</v>
      </c>
      <c r="R11" s="123">
        <v>1E-3</v>
      </c>
      <c r="S11" s="230">
        <v>2.5000000000000001E-4</v>
      </c>
      <c r="V11" s="177">
        <v>6773990.4381479993</v>
      </c>
      <c r="AI11" s="123">
        <v>3.7000000000000002E-3</v>
      </c>
      <c r="AJ11" s="123">
        <v>1.8163267578006903E-2</v>
      </c>
      <c r="AL11" s="121"/>
    </row>
    <row r="12" spans="1:43" s="425" customFormat="1">
      <c r="A12" s="425" t="s">
        <v>65</v>
      </c>
      <c r="B12" s="426" t="s">
        <v>66</v>
      </c>
      <c r="C12" s="426" t="s">
        <v>85</v>
      </c>
      <c r="D12" s="426" t="s">
        <v>43</v>
      </c>
      <c r="E12" s="426" t="s">
        <v>44</v>
      </c>
      <c r="F12" s="426" t="s">
        <v>55</v>
      </c>
      <c r="G12" s="426" t="s">
        <v>56</v>
      </c>
      <c r="H12" s="426" t="s">
        <v>62</v>
      </c>
      <c r="I12" s="426" t="s">
        <v>46</v>
      </c>
      <c r="J12" s="427">
        <v>4515823503.6677303</v>
      </c>
      <c r="K12" s="427"/>
      <c r="L12" s="426"/>
      <c r="M12" s="428"/>
      <c r="N12" s="428"/>
      <c r="O12" s="429">
        <v>8.5000000000000006E-3</v>
      </c>
      <c r="P12" s="430"/>
      <c r="Q12" s="430"/>
      <c r="R12" s="431">
        <v>1E-3</v>
      </c>
      <c r="S12" s="432">
        <v>2.5000000000000001E-4</v>
      </c>
      <c r="T12" s="431"/>
      <c r="U12" s="427">
        <f>+V12+Y12+Z12+AA12+AF12+AH12</f>
        <v>45140148</v>
      </c>
      <c r="V12" s="433">
        <v>38303271</v>
      </c>
      <c r="W12" s="427"/>
      <c r="X12" s="427"/>
      <c r="Y12" s="427">
        <v>4543131</v>
      </c>
      <c r="Z12" s="427">
        <f>327439+517271</f>
        <v>844710</v>
      </c>
      <c r="AA12" s="427">
        <v>1133058</v>
      </c>
      <c r="AB12" s="427"/>
      <c r="AC12" s="427"/>
      <c r="AD12" s="427"/>
      <c r="AE12" s="427"/>
      <c r="AF12" s="427">
        <v>134196</v>
      </c>
      <c r="AG12" s="427"/>
      <c r="AH12" s="427">
        <v>181782</v>
      </c>
      <c r="AI12" s="426"/>
      <c r="AJ12" s="426"/>
      <c r="AK12" s="427"/>
      <c r="AL12" s="426"/>
    </row>
    <row r="13" spans="1:43" s="425" customFormat="1">
      <c r="A13" s="425" t="s">
        <v>67</v>
      </c>
      <c r="B13" s="426" t="s">
        <v>68</v>
      </c>
      <c r="C13" s="426" t="s">
        <v>85</v>
      </c>
      <c r="D13" s="426" t="s">
        <v>43</v>
      </c>
      <c r="E13" s="426" t="s">
        <v>44</v>
      </c>
      <c r="F13" s="426" t="s">
        <v>55</v>
      </c>
      <c r="G13" s="426" t="s">
        <v>56</v>
      </c>
      <c r="H13" s="426" t="s">
        <v>62</v>
      </c>
      <c r="I13" s="426" t="s">
        <v>69</v>
      </c>
      <c r="J13" s="427">
        <v>3030751.4536423841</v>
      </c>
      <c r="K13" s="427"/>
      <c r="L13" s="426"/>
      <c r="M13" s="428"/>
      <c r="N13" s="428"/>
      <c r="O13" s="429">
        <v>0.01</v>
      </c>
      <c r="P13" s="430"/>
      <c r="Q13" s="430"/>
      <c r="R13" s="431">
        <v>8.0000000000000004E-4</v>
      </c>
      <c r="S13" s="432">
        <v>2.5000000000000001E-4</v>
      </c>
      <c r="T13" s="431"/>
      <c r="U13" s="427">
        <f>+V13+V14+Y13+Z13+AA13+AF13+AH13</f>
        <v>38677.444631000006</v>
      </c>
      <c r="V13" s="433">
        <v>30207.065648000003</v>
      </c>
      <c r="W13" s="427"/>
      <c r="X13" s="427"/>
      <c r="Y13" s="427">
        <v>2949.29</v>
      </c>
      <c r="Z13" s="427">
        <f>1102.26+1708.61</f>
        <v>2810.87</v>
      </c>
      <c r="AA13" s="427">
        <v>931.15</v>
      </c>
      <c r="AB13" s="427"/>
      <c r="AC13" s="427"/>
      <c r="AD13" s="427"/>
      <c r="AE13" s="427"/>
      <c r="AF13" s="427">
        <v>591.96</v>
      </c>
      <c r="AG13" s="427"/>
      <c r="AH13" s="427">
        <v>550.82000000000005</v>
      </c>
      <c r="AI13" s="426"/>
      <c r="AJ13" s="426"/>
      <c r="AK13" s="427"/>
      <c r="AL13" s="426"/>
    </row>
    <row r="14" spans="1:43" s="425" customFormat="1">
      <c r="A14" s="425" t="s">
        <v>70</v>
      </c>
      <c r="B14" s="426" t="s">
        <v>71</v>
      </c>
      <c r="C14" s="426" t="s">
        <v>85</v>
      </c>
      <c r="D14" s="426" t="s">
        <v>43</v>
      </c>
      <c r="E14" s="426" t="s">
        <v>44</v>
      </c>
      <c r="F14" s="426" t="s">
        <v>55</v>
      </c>
      <c r="G14" s="426" t="s">
        <v>56</v>
      </c>
      <c r="H14" s="426" t="s">
        <v>62</v>
      </c>
      <c r="I14" s="426" t="s">
        <v>69</v>
      </c>
      <c r="J14" s="427">
        <v>638403.28807947016</v>
      </c>
      <c r="K14" s="427"/>
      <c r="L14" s="426"/>
      <c r="M14" s="428"/>
      <c r="N14" s="428"/>
      <c r="O14" s="429">
        <v>1E-3</v>
      </c>
      <c r="P14" s="430"/>
      <c r="Q14" s="430"/>
      <c r="R14" s="431">
        <v>8.0000000000000004E-4</v>
      </c>
      <c r="S14" s="432">
        <v>2.5000000000000001E-4</v>
      </c>
      <c r="T14" s="431"/>
      <c r="U14" s="427"/>
      <c r="V14" s="427">
        <v>636.28898299999992</v>
      </c>
      <c r="W14" s="427"/>
      <c r="X14" s="427"/>
      <c r="Y14" s="427"/>
      <c r="Z14" s="427"/>
      <c r="AA14" s="427"/>
      <c r="AB14" s="427"/>
      <c r="AC14" s="427"/>
      <c r="AD14" s="427"/>
      <c r="AE14" s="427"/>
      <c r="AF14" s="427"/>
      <c r="AG14" s="427"/>
      <c r="AH14" s="427"/>
      <c r="AI14" s="426"/>
      <c r="AJ14" s="426"/>
      <c r="AK14" s="427"/>
      <c r="AL14" s="426"/>
    </row>
    <row r="15" spans="1:43">
      <c r="A15" s="226" t="s">
        <v>78</v>
      </c>
      <c r="B15" s="121" t="s">
        <v>72</v>
      </c>
      <c r="C15" s="121" t="s">
        <v>85</v>
      </c>
      <c r="D15" s="121" t="s">
        <v>43</v>
      </c>
      <c r="E15" s="121" t="s">
        <v>44</v>
      </c>
      <c r="F15" s="121" t="s">
        <v>55</v>
      </c>
      <c r="G15" s="121" t="s">
        <v>58</v>
      </c>
      <c r="H15" s="121" t="s">
        <v>62</v>
      </c>
      <c r="I15" s="121" t="s">
        <v>46</v>
      </c>
      <c r="J15" s="177">
        <v>1355886300.0846775</v>
      </c>
      <c r="M15" s="122">
        <v>-0.1676</v>
      </c>
      <c r="N15" s="122">
        <v>-0.15429999999999999</v>
      </c>
      <c r="O15" s="228">
        <v>1.9199999999999998E-2</v>
      </c>
      <c r="R15" s="123">
        <v>3.2499999999999999E-4</v>
      </c>
      <c r="S15" s="230">
        <v>2.5000000000000001E-4</v>
      </c>
      <c r="U15" s="177">
        <f>+V15+Y15+Z15+AA15+AF15+AH15</f>
        <v>28375811</v>
      </c>
      <c r="V15" s="231">
        <v>26135216</v>
      </c>
      <c r="Y15" s="177">
        <v>445753</v>
      </c>
      <c r="Z15" s="177">
        <f>504417+690258</f>
        <v>1194675</v>
      </c>
      <c r="AA15" s="177">
        <v>343592</v>
      </c>
      <c r="AF15" s="177">
        <f>63065+1972</f>
        <v>65037</v>
      </c>
      <c r="AH15" s="177">
        <v>191538</v>
      </c>
      <c r="AI15" s="123">
        <v>3.0000000000000001E-3</v>
      </c>
      <c r="AJ15" s="122">
        <v>2.3927869098041541E-2</v>
      </c>
      <c r="AL15" s="121"/>
    </row>
    <row r="16" spans="1:43">
      <c r="A16" s="226" t="s">
        <v>79</v>
      </c>
      <c r="B16" s="121" t="s">
        <v>73</v>
      </c>
      <c r="C16" s="121" t="s">
        <v>85</v>
      </c>
      <c r="D16" s="121" t="s">
        <v>43</v>
      </c>
      <c r="E16" s="121" t="s">
        <v>44</v>
      </c>
      <c r="F16" s="121" t="s">
        <v>55</v>
      </c>
      <c r="G16" s="121" t="s">
        <v>48</v>
      </c>
      <c r="H16" s="121" t="s">
        <v>62</v>
      </c>
      <c r="I16" s="121" t="s">
        <v>46</v>
      </c>
      <c r="J16" s="177">
        <v>4996471698.9596777</v>
      </c>
      <c r="M16" s="122">
        <v>4.7100000000000003E-2</v>
      </c>
      <c r="N16" s="122">
        <v>2.3699999999999999E-2</v>
      </c>
      <c r="O16" s="229">
        <v>1.4999999999999999E-2</v>
      </c>
      <c r="R16" s="123">
        <v>3.2499999999999999E-4</v>
      </c>
      <c r="S16" s="230">
        <v>2.5000000000000001E-4</v>
      </c>
      <c r="U16" s="177">
        <f t="shared" ref="U16:U17" si="0">+V16+Y16+Z16+AA16+AF16+AH16</f>
        <v>81334014.599999994</v>
      </c>
      <c r="V16" s="231">
        <v>75145526</v>
      </c>
      <c r="Y16" s="177">
        <v>1634071</v>
      </c>
      <c r="Z16" s="177">
        <f>1071662+1538297</f>
        <v>2609959</v>
      </c>
      <c r="AA16" s="177">
        <v>1256118</v>
      </c>
      <c r="AF16" s="177">
        <f>429749.6+18265</f>
        <v>448014.6</v>
      </c>
      <c r="AH16" s="177">
        <v>240326</v>
      </c>
      <c r="AI16" s="123">
        <v>2E-3</v>
      </c>
      <c r="AJ16" s="123">
        <v>1.8278289861410536E-2</v>
      </c>
      <c r="AL16" s="121"/>
    </row>
    <row r="17" spans="1:38">
      <c r="A17" s="226" t="s">
        <v>80</v>
      </c>
      <c r="B17" s="121" t="s">
        <v>74</v>
      </c>
      <c r="C17" s="121" t="s">
        <v>85</v>
      </c>
      <c r="D17" s="121" t="s">
        <v>43</v>
      </c>
      <c r="E17" s="121" t="s">
        <v>44</v>
      </c>
      <c r="F17" s="121" t="s">
        <v>55</v>
      </c>
      <c r="G17" s="121" t="s">
        <v>48</v>
      </c>
      <c r="H17" s="121" t="s">
        <v>62</v>
      </c>
      <c r="I17" s="121" t="s">
        <v>46</v>
      </c>
      <c r="J17" s="177">
        <v>5300072020.3306456</v>
      </c>
      <c r="M17" s="122">
        <v>-2.9600000000000001E-2</v>
      </c>
      <c r="N17" s="122">
        <v>-5.2499999999999998E-2</v>
      </c>
      <c r="O17" s="229">
        <v>1.7500000000000002E-2</v>
      </c>
      <c r="R17" s="123">
        <v>3.2499999999999999E-4</v>
      </c>
      <c r="S17" s="230">
        <v>2.5000000000000001E-4</v>
      </c>
      <c r="U17" s="177">
        <f t="shared" si="0"/>
        <v>99302211</v>
      </c>
      <c r="V17" s="231">
        <v>92623008</v>
      </c>
      <c r="Y17" s="177">
        <v>1728450</v>
      </c>
      <c r="Z17" s="177">
        <f>1105543+1539867</f>
        <v>2645410</v>
      </c>
      <c r="AA17" s="177">
        <v>1330059</v>
      </c>
      <c r="AF17" s="177">
        <f>761548+22198</f>
        <v>783746</v>
      </c>
      <c r="AH17" s="177">
        <v>191538</v>
      </c>
      <c r="AI17" s="123">
        <v>1.6000000000000001E-3</v>
      </c>
      <c r="AJ17" s="123">
        <v>2.0336011627593888E-2</v>
      </c>
      <c r="AL17" s="121"/>
    </row>
    <row r="18" spans="1:38" ht="102">
      <c r="A18" s="232" t="s">
        <v>86</v>
      </c>
      <c r="B18" s="124" t="s">
        <v>87</v>
      </c>
      <c r="C18" s="124" t="s">
        <v>84</v>
      </c>
      <c r="D18" s="124" t="s">
        <v>43</v>
      </c>
      <c r="E18" s="124" t="s">
        <v>44</v>
      </c>
      <c r="F18" s="124" t="s">
        <v>1348</v>
      </c>
      <c r="G18" s="124" t="s">
        <v>88</v>
      </c>
      <c r="H18" s="124" t="s">
        <v>45</v>
      </c>
      <c r="I18" s="124" t="s">
        <v>46</v>
      </c>
      <c r="J18" s="233">
        <v>185807225</v>
      </c>
      <c r="K18" s="178">
        <v>0</v>
      </c>
      <c r="L18" s="124"/>
      <c r="M18" s="38">
        <v>-0.51659999999999684</v>
      </c>
      <c r="N18" s="39">
        <v>5.66</v>
      </c>
      <c r="O18" s="234" t="s">
        <v>89</v>
      </c>
      <c r="P18" s="234" t="s">
        <v>90</v>
      </c>
      <c r="Q18" s="234" t="s">
        <v>91</v>
      </c>
      <c r="R18" s="125">
        <v>2E-3</v>
      </c>
      <c r="S18" s="235">
        <v>1.025E-2</v>
      </c>
      <c r="T18" s="125" t="s">
        <v>92</v>
      </c>
      <c r="U18" s="236">
        <v>11535478</v>
      </c>
      <c r="V18" s="233">
        <v>6000000</v>
      </c>
      <c r="W18" s="233">
        <v>668793</v>
      </c>
      <c r="X18" s="233">
        <v>1559945</v>
      </c>
      <c r="Y18" s="233">
        <v>372584</v>
      </c>
      <c r="Z18" s="233">
        <v>679800</v>
      </c>
      <c r="AA18" s="233">
        <v>47000</v>
      </c>
      <c r="AB18" s="233">
        <v>1912573</v>
      </c>
      <c r="AC18" s="178">
        <v>0</v>
      </c>
      <c r="AD18" s="233">
        <v>149390</v>
      </c>
      <c r="AE18" s="237"/>
      <c r="AF18" s="233">
        <v>61693</v>
      </c>
      <c r="AG18" s="237"/>
      <c r="AH18" s="233">
        <v>83700</v>
      </c>
      <c r="AI18" s="124">
        <v>0</v>
      </c>
      <c r="AJ18" s="125">
        <v>5.4199999999999998E-2</v>
      </c>
      <c r="AK18" s="178">
        <v>0</v>
      </c>
    </row>
    <row r="19" spans="1:38" ht="102">
      <c r="A19" s="232" t="s">
        <v>93</v>
      </c>
      <c r="B19" s="124" t="s">
        <v>94</v>
      </c>
      <c r="C19" s="124" t="s">
        <v>84</v>
      </c>
      <c r="D19" s="124" t="s">
        <v>43</v>
      </c>
      <c r="E19" s="124" t="s">
        <v>44</v>
      </c>
      <c r="F19" s="124" t="s">
        <v>1348</v>
      </c>
      <c r="G19" s="124" t="s">
        <v>88</v>
      </c>
      <c r="H19" s="124" t="s">
        <v>45</v>
      </c>
      <c r="I19" s="124" t="s">
        <v>46</v>
      </c>
      <c r="J19" s="233">
        <v>4298010740</v>
      </c>
      <c r="K19" s="178">
        <v>0</v>
      </c>
      <c r="L19" s="124"/>
      <c r="M19" s="39">
        <v>2.3624000000000001</v>
      </c>
      <c r="N19" s="39">
        <v>5.66</v>
      </c>
      <c r="O19" s="234">
        <v>0.01</v>
      </c>
      <c r="P19" s="234" t="s">
        <v>90</v>
      </c>
      <c r="Q19" s="234" t="s">
        <v>91</v>
      </c>
      <c r="R19" s="125">
        <v>2E-3</v>
      </c>
      <c r="S19" s="235">
        <v>5.2500000000000003E-3</v>
      </c>
      <c r="T19" s="125" t="s">
        <v>92</v>
      </c>
      <c r="U19" s="233">
        <v>85857935</v>
      </c>
      <c r="V19" s="233">
        <v>42592910</v>
      </c>
      <c r="W19" s="233">
        <v>0</v>
      </c>
      <c r="X19" s="233">
        <v>21337984</v>
      </c>
      <c r="Y19" s="233">
        <v>8489966</v>
      </c>
      <c r="Z19" s="233">
        <v>2853250</v>
      </c>
      <c r="AA19" s="233">
        <v>1061000</v>
      </c>
      <c r="AB19" s="233">
        <v>4099426</v>
      </c>
      <c r="AC19" s="178">
        <v>0</v>
      </c>
      <c r="AD19" s="233">
        <v>3190252</v>
      </c>
      <c r="AE19" s="237"/>
      <c r="AF19" s="233">
        <v>263703</v>
      </c>
      <c r="AG19" s="237"/>
      <c r="AH19" s="233">
        <v>1969444</v>
      </c>
      <c r="AI19" s="124">
        <v>0</v>
      </c>
      <c r="AJ19" s="125">
        <v>1.9199999999999998E-2</v>
      </c>
      <c r="AK19" s="178">
        <v>0</v>
      </c>
    </row>
    <row r="20" spans="1:38" ht="102">
      <c r="A20" s="232" t="s">
        <v>95</v>
      </c>
      <c r="B20" s="124" t="s">
        <v>96</v>
      </c>
      <c r="C20" s="124" t="s">
        <v>84</v>
      </c>
      <c r="D20" s="124" t="s">
        <v>43</v>
      </c>
      <c r="E20" s="124" t="s">
        <v>44</v>
      </c>
      <c r="F20" s="124" t="s">
        <v>1348</v>
      </c>
      <c r="G20" s="124" t="s">
        <v>97</v>
      </c>
      <c r="H20" s="124" t="s">
        <v>62</v>
      </c>
      <c r="I20" s="124" t="s">
        <v>46</v>
      </c>
      <c r="J20" s="233">
        <v>34934715</v>
      </c>
      <c r="K20" s="178">
        <v>0</v>
      </c>
      <c r="L20" s="124"/>
      <c r="M20" s="39">
        <v>-5.9920999999999998</v>
      </c>
      <c r="N20" s="39"/>
      <c r="O20" s="234">
        <v>1.6500000000000001E-2</v>
      </c>
      <c r="P20" s="234" t="s">
        <v>90</v>
      </c>
      <c r="Q20" s="234" t="s">
        <v>91</v>
      </c>
      <c r="R20" s="125">
        <v>4.0000000000000001E-3</v>
      </c>
      <c r="S20" s="235">
        <v>1.025E-2</v>
      </c>
      <c r="T20" s="125" t="s">
        <v>92</v>
      </c>
      <c r="U20" s="233">
        <v>3295680</v>
      </c>
      <c r="V20" s="178">
        <v>0</v>
      </c>
      <c r="W20" s="233">
        <v>518245</v>
      </c>
      <c r="X20" s="233">
        <v>287231</v>
      </c>
      <c r="Y20" s="233">
        <v>139651</v>
      </c>
      <c r="Z20" s="233">
        <v>883000</v>
      </c>
      <c r="AA20" s="233">
        <v>9000</v>
      </c>
      <c r="AB20" s="233">
        <v>1212573</v>
      </c>
      <c r="AC20" s="178">
        <v>0</v>
      </c>
      <c r="AD20" s="233">
        <v>134092</v>
      </c>
      <c r="AE20" s="237"/>
      <c r="AF20" s="233">
        <v>64273</v>
      </c>
      <c r="AG20" s="237"/>
      <c r="AH20" s="233">
        <v>47615</v>
      </c>
      <c r="AI20" s="124">
        <v>0.41</v>
      </c>
      <c r="AJ20" s="125">
        <v>6.7100000000000007E-2</v>
      </c>
      <c r="AK20" s="178">
        <v>0</v>
      </c>
    </row>
    <row r="21" spans="1:38" ht="102">
      <c r="A21" s="232" t="s">
        <v>98</v>
      </c>
      <c r="B21" s="124" t="s">
        <v>99</v>
      </c>
      <c r="C21" s="124" t="s">
        <v>84</v>
      </c>
      <c r="D21" s="124" t="s">
        <v>43</v>
      </c>
      <c r="E21" s="124" t="s">
        <v>44</v>
      </c>
      <c r="F21" s="124" t="s">
        <v>1348</v>
      </c>
      <c r="G21" s="124" t="s">
        <v>97</v>
      </c>
      <c r="H21" s="124" t="s">
        <v>62</v>
      </c>
      <c r="I21" s="124" t="s">
        <v>46</v>
      </c>
      <c r="J21" s="233">
        <v>30258866</v>
      </c>
      <c r="K21" s="178">
        <v>0</v>
      </c>
      <c r="L21" s="124"/>
      <c r="M21" s="39">
        <v>-0.48980000000000001</v>
      </c>
      <c r="N21" s="39"/>
      <c r="O21" s="234" t="s">
        <v>100</v>
      </c>
      <c r="P21" s="234" t="s">
        <v>90</v>
      </c>
      <c r="Q21" s="234" t="s">
        <v>101</v>
      </c>
      <c r="R21" s="125">
        <v>2E-3</v>
      </c>
      <c r="S21" s="235">
        <v>1.025E-2</v>
      </c>
      <c r="T21" s="125" t="s">
        <v>92</v>
      </c>
      <c r="U21" s="233">
        <v>3174611</v>
      </c>
      <c r="V21" s="233">
        <v>0</v>
      </c>
      <c r="W21" s="233">
        <v>458071</v>
      </c>
      <c r="X21" s="233">
        <v>283589</v>
      </c>
      <c r="Y21" s="233">
        <v>60620</v>
      </c>
      <c r="Z21" s="233">
        <v>854000</v>
      </c>
      <c r="AA21" s="233">
        <v>9000</v>
      </c>
      <c r="AB21" s="233">
        <v>1212573</v>
      </c>
      <c r="AC21" s="178">
        <v>0</v>
      </c>
      <c r="AD21" s="233">
        <v>131159</v>
      </c>
      <c r="AE21" s="237"/>
      <c r="AF21" s="233">
        <v>4800</v>
      </c>
      <c r="AG21" s="237"/>
      <c r="AH21" s="233">
        <v>160799</v>
      </c>
      <c r="AI21" s="124">
        <v>0.22</v>
      </c>
      <c r="AJ21" s="125">
        <v>8.3000000000000004E-2</v>
      </c>
      <c r="AK21" s="178">
        <v>0</v>
      </c>
    </row>
    <row r="22" spans="1:38" ht="102">
      <c r="A22" s="232" t="s">
        <v>102</v>
      </c>
      <c r="B22" s="124" t="s">
        <v>103</v>
      </c>
      <c r="C22" s="124" t="s">
        <v>84</v>
      </c>
      <c r="D22" s="124" t="s">
        <v>43</v>
      </c>
      <c r="E22" s="124" t="s">
        <v>44</v>
      </c>
      <c r="F22" s="124" t="s">
        <v>884</v>
      </c>
      <c r="G22" s="124" t="s">
        <v>97</v>
      </c>
      <c r="H22" s="124" t="s">
        <v>62</v>
      </c>
      <c r="I22" s="124" t="s">
        <v>46</v>
      </c>
      <c r="J22" s="233">
        <v>177054530</v>
      </c>
      <c r="K22" s="178">
        <v>0</v>
      </c>
      <c r="L22" s="124"/>
      <c r="M22" s="38">
        <v>-3.383499999999998</v>
      </c>
      <c r="N22" s="39"/>
      <c r="O22" s="234" t="s">
        <v>89</v>
      </c>
      <c r="P22" s="234" t="s">
        <v>90</v>
      </c>
      <c r="Q22" s="234" t="s">
        <v>104</v>
      </c>
      <c r="R22" s="125">
        <v>4.0000000000000001E-3</v>
      </c>
      <c r="S22" s="235">
        <v>1.025E-2</v>
      </c>
      <c r="T22" s="125" t="s">
        <v>92</v>
      </c>
      <c r="U22" s="233">
        <v>20292914</v>
      </c>
      <c r="V22" s="233">
        <v>6000000</v>
      </c>
      <c r="W22" s="233">
        <v>4317962</v>
      </c>
      <c r="X22" s="233">
        <v>1705602</v>
      </c>
      <c r="Y22" s="233">
        <v>708583</v>
      </c>
      <c r="Z22" s="233">
        <v>981000</v>
      </c>
      <c r="AA22" s="233">
        <v>44000</v>
      </c>
      <c r="AB22" s="233">
        <v>1912573</v>
      </c>
      <c r="AC22" s="178">
        <v>0</v>
      </c>
      <c r="AD22" s="233">
        <v>2793386</v>
      </c>
      <c r="AE22" s="237"/>
      <c r="AF22" s="233">
        <v>63292</v>
      </c>
      <c r="AG22" s="237"/>
      <c r="AH22" s="233">
        <v>1766516</v>
      </c>
      <c r="AI22" s="124">
        <v>0.36</v>
      </c>
      <c r="AJ22" s="125">
        <v>6.08E-2</v>
      </c>
      <c r="AK22" s="178">
        <v>0</v>
      </c>
    </row>
    <row r="23" spans="1:38" ht="102">
      <c r="A23" s="232" t="s">
        <v>105</v>
      </c>
      <c r="B23" s="124" t="s">
        <v>106</v>
      </c>
      <c r="C23" s="124" t="s">
        <v>84</v>
      </c>
      <c r="D23" s="124" t="s">
        <v>43</v>
      </c>
      <c r="E23" s="124" t="s">
        <v>44</v>
      </c>
      <c r="F23" s="124" t="s">
        <v>884</v>
      </c>
      <c r="G23" s="124" t="s">
        <v>97</v>
      </c>
      <c r="H23" s="124" t="s">
        <v>62</v>
      </c>
      <c r="I23" s="124" t="s">
        <v>46</v>
      </c>
      <c r="J23" s="233">
        <v>298199927</v>
      </c>
      <c r="K23" s="178">
        <v>0</v>
      </c>
      <c r="L23" s="124"/>
      <c r="M23" s="39">
        <v>5.79</v>
      </c>
      <c r="N23" s="39"/>
      <c r="O23" s="234" t="s">
        <v>107</v>
      </c>
      <c r="P23" s="238" t="s">
        <v>1193</v>
      </c>
      <c r="Q23" s="234" t="s">
        <v>108</v>
      </c>
      <c r="R23" s="125">
        <v>2E-3</v>
      </c>
      <c r="S23" s="235">
        <v>2.2499999999999998E-3</v>
      </c>
      <c r="T23" s="125" t="s">
        <v>92</v>
      </c>
      <c r="U23" s="233">
        <v>15322366</v>
      </c>
      <c r="V23" s="233">
        <v>2299124</v>
      </c>
      <c r="W23" s="233">
        <v>0</v>
      </c>
      <c r="X23" s="233">
        <v>631321</v>
      </c>
      <c r="Y23" s="233">
        <v>603628</v>
      </c>
      <c r="Z23" s="233">
        <v>285250</v>
      </c>
      <c r="AA23" s="233">
        <v>76000</v>
      </c>
      <c r="AB23" s="233">
        <v>112573</v>
      </c>
      <c r="AC23" s="178">
        <v>0</v>
      </c>
      <c r="AD23" s="233">
        <v>11022816</v>
      </c>
      <c r="AE23" s="237"/>
      <c r="AF23" s="233">
        <v>113284</v>
      </c>
      <c r="AG23" s="237"/>
      <c r="AH23" s="233">
        <v>178370</v>
      </c>
      <c r="AI23" s="124">
        <v>0</v>
      </c>
      <c r="AJ23" s="125">
        <v>6.9099999999999995E-2</v>
      </c>
      <c r="AK23" s="178">
        <v>0</v>
      </c>
    </row>
    <row r="24" spans="1:38" ht="127.5">
      <c r="A24" s="232" t="s">
        <v>109</v>
      </c>
      <c r="B24" s="124" t="s">
        <v>110</v>
      </c>
      <c r="C24" s="124" t="s">
        <v>84</v>
      </c>
      <c r="D24" s="124" t="s">
        <v>43</v>
      </c>
      <c r="E24" s="124" t="s">
        <v>44</v>
      </c>
      <c r="F24" s="124" t="s">
        <v>884</v>
      </c>
      <c r="G24" s="124" t="s">
        <v>97</v>
      </c>
      <c r="H24" s="124" t="s">
        <v>62</v>
      </c>
      <c r="I24" s="124" t="s">
        <v>69</v>
      </c>
      <c r="J24" s="233">
        <v>200705</v>
      </c>
      <c r="K24" s="178">
        <v>0</v>
      </c>
      <c r="L24" s="124"/>
      <c r="M24" s="39">
        <v>7.77</v>
      </c>
      <c r="N24" s="39"/>
      <c r="O24" s="234">
        <v>1.4999999999999999E-2</v>
      </c>
      <c r="P24" s="238" t="s">
        <v>1194</v>
      </c>
      <c r="Q24" s="234" t="s">
        <v>108</v>
      </c>
      <c r="R24" s="125">
        <v>4.0000000000000001E-3</v>
      </c>
      <c r="S24" s="235">
        <v>1.025E-2</v>
      </c>
      <c r="T24" s="125" t="s">
        <v>92</v>
      </c>
      <c r="U24" s="233">
        <v>10189.540000000001</v>
      </c>
      <c r="V24" s="178">
        <v>0</v>
      </c>
      <c r="W24" s="233">
        <v>0</v>
      </c>
      <c r="X24" s="233">
        <v>1634.22</v>
      </c>
      <c r="Y24" s="233">
        <v>865.05</v>
      </c>
      <c r="Z24" s="233">
        <v>1848.67</v>
      </c>
      <c r="AA24" s="233">
        <v>51.14</v>
      </c>
      <c r="AB24" s="233">
        <v>1329.68</v>
      </c>
      <c r="AC24" s="178">
        <v>0</v>
      </c>
      <c r="AD24" s="233">
        <v>1621.13</v>
      </c>
      <c r="AE24" s="237"/>
      <c r="AF24" s="233">
        <v>1132.97</v>
      </c>
      <c r="AG24" s="237"/>
      <c r="AH24" s="233">
        <v>1706.68</v>
      </c>
      <c r="AI24" s="124">
        <v>0</v>
      </c>
      <c r="AJ24" s="125">
        <v>3.6499999999999998E-2</v>
      </c>
      <c r="AK24" s="178">
        <v>0</v>
      </c>
    </row>
    <row r="25" spans="1:38" ht="102">
      <c r="A25" s="232" t="s">
        <v>111</v>
      </c>
      <c r="B25" s="124" t="s">
        <v>112</v>
      </c>
      <c r="C25" s="124" t="s">
        <v>84</v>
      </c>
      <c r="D25" s="124" t="s">
        <v>43</v>
      </c>
      <c r="E25" s="124" t="s">
        <v>44</v>
      </c>
      <c r="F25" s="124" t="s">
        <v>884</v>
      </c>
      <c r="G25" s="124" t="s">
        <v>97</v>
      </c>
      <c r="H25" s="124" t="s">
        <v>62</v>
      </c>
      <c r="I25" s="124" t="s">
        <v>46</v>
      </c>
      <c r="J25" s="233">
        <v>23680364</v>
      </c>
      <c r="K25" s="178">
        <v>0</v>
      </c>
      <c r="L25" s="124"/>
      <c r="M25" s="38">
        <v>-3.2373000000000047</v>
      </c>
      <c r="N25" s="39"/>
      <c r="O25" s="234">
        <v>1.4999999999999999E-2</v>
      </c>
      <c r="P25" s="238" t="s">
        <v>1195</v>
      </c>
      <c r="Q25" s="234" t="s">
        <v>113</v>
      </c>
      <c r="R25" s="235">
        <v>1.75E-3</v>
      </c>
      <c r="S25" s="235">
        <v>1.125E-2</v>
      </c>
      <c r="T25" s="125" t="s">
        <v>92</v>
      </c>
      <c r="U25" s="233">
        <v>3355288</v>
      </c>
      <c r="V25" s="178">
        <v>0</v>
      </c>
      <c r="W25" s="233">
        <v>265589</v>
      </c>
      <c r="X25" s="233">
        <v>239834</v>
      </c>
      <c r="Y25" s="233">
        <v>271390</v>
      </c>
      <c r="Z25" s="233">
        <v>629000</v>
      </c>
      <c r="AA25" s="233">
        <v>5000</v>
      </c>
      <c r="AB25" s="233">
        <v>1295885</v>
      </c>
      <c r="AC25" s="178">
        <v>0</v>
      </c>
      <c r="AD25" s="233">
        <v>474569</v>
      </c>
      <c r="AE25" s="237"/>
      <c r="AF25" s="233">
        <v>27554</v>
      </c>
      <c r="AG25" s="237"/>
      <c r="AH25" s="233">
        <v>146467</v>
      </c>
      <c r="AI25" s="124">
        <v>0</v>
      </c>
      <c r="AJ25" s="125">
        <v>8.5800000000000001E-2</v>
      </c>
      <c r="AK25" s="178">
        <v>0</v>
      </c>
    </row>
    <row r="26" spans="1:38" ht="216.75">
      <c r="A26" s="232" t="s">
        <v>114</v>
      </c>
      <c r="B26" s="124" t="s">
        <v>115</v>
      </c>
      <c r="C26" s="124" t="s">
        <v>84</v>
      </c>
      <c r="D26" s="124" t="s">
        <v>43</v>
      </c>
      <c r="E26" s="124" t="s">
        <v>44</v>
      </c>
      <c r="F26" s="124" t="s">
        <v>132</v>
      </c>
      <c r="G26" s="124" t="s">
        <v>116</v>
      </c>
      <c r="H26" s="124" t="s">
        <v>45</v>
      </c>
      <c r="I26" s="124" t="s">
        <v>46</v>
      </c>
      <c r="J26" s="233">
        <v>516186113</v>
      </c>
      <c r="K26" s="178">
        <v>0</v>
      </c>
      <c r="L26" s="124"/>
      <c r="M26" s="38">
        <v>-2.4298000000000002</v>
      </c>
      <c r="N26" s="39">
        <v>3.8</v>
      </c>
      <c r="O26" s="234">
        <v>1.4999999999999999E-2</v>
      </c>
      <c r="P26" s="234" t="s">
        <v>117</v>
      </c>
      <c r="Q26" s="234" t="s">
        <v>118</v>
      </c>
      <c r="R26" s="125">
        <v>1.5E-3</v>
      </c>
      <c r="S26" s="235">
        <v>1.025E-2</v>
      </c>
      <c r="T26" s="125" t="s">
        <v>92</v>
      </c>
      <c r="U26" s="233">
        <v>36297736</v>
      </c>
      <c r="V26" s="233">
        <v>7749759</v>
      </c>
      <c r="W26" s="233">
        <v>0</v>
      </c>
      <c r="X26" s="233">
        <v>4695314</v>
      </c>
      <c r="Y26" s="233">
        <v>829638</v>
      </c>
      <c r="Z26" s="233">
        <v>1625000</v>
      </c>
      <c r="AA26" s="233">
        <v>138000</v>
      </c>
      <c r="AB26" s="233">
        <v>1370952</v>
      </c>
      <c r="AC26" s="233">
        <v>179400</v>
      </c>
      <c r="AD26" s="233">
        <v>0</v>
      </c>
      <c r="AE26" s="237"/>
      <c r="AF26" s="233">
        <v>169076</v>
      </c>
      <c r="AG26" s="233">
        <v>14732589</v>
      </c>
      <c r="AH26" s="233">
        <v>4808008</v>
      </c>
      <c r="AI26" s="124">
        <v>0</v>
      </c>
      <c r="AJ26" s="125">
        <v>2.52E-2</v>
      </c>
      <c r="AK26" s="178">
        <v>0</v>
      </c>
    </row>
    <row r="27" spans="1:38">
      <c r="A27" s="239" t="s">
        <v>1182</v>
      </c>
      <c r="B27" s="240" t="s">
        <v>1183</v>
      </c>
      <c r="C27" s="240" t="s">
        <v>1184</v>
      </c>
      <c r="D27" s="121" t="s">
        <v>43</v>
      </c>
      <c r="E27" s="121" t="s">
        <v>44</v>
      </c>
      <c r="F27" s="121" t="s">
        <v>884</v>
      </c>
      <c r="G27" s="240" t="s">
        <v>884</v>
      </c>
      <c r="H27" s="121" t="s">
        <v>45</v>
      </c>
      <c r="I27" s="240" t="s">
        <v>46</v>
      </c>
      <c r="J27" s="241">
        <v>457353912</v>
      </c>
      <c r="K27" s="179">
        <v>0</v>
      </c>
      <c r="L27" s="126" t="s">
        <v>122</v>
      </c>
      <c r="M27" s="242">
        <v>2.0035000000000001E-2</v>
      </c>
      <c r="N27" s="242">
        <v>5.7668999999999998E-2</v>
      </c>
      <c r="O27" s="243">
        <v>1.2500000000000001E-2</v>
      </c>
      <c r="P27" s="243">
        <v>0</v>
      </c>
      <c r="Q27" s="243" t="s">
        <v>122</v>
      </c>
      <c r="R27" s="127">
        <v>8.9999999999999998E-4</v>
      </c>
      <c r="S27" s="244">
        <v>2.2499999999999998E-3</v>
      </c>
      <c r="T27" s="244">
        <v>1.865E-2</v>
      </c>
      <c r="U27" s="179">
        <v>12279000</v>
      </c>
      <c r="V27" s="179">
        <v>5786000</v>
      </c>
      <c r="W27" s="179">
        <v>0</v>
      </c>
      <c r="X27" s="179">
        <v>926000</v>
      </c>
      <c r="Y27" s="179">
        <v>431000</v>
      </c>
      <c r="Z27" s="179">
        <v>2730000</v>
      </c>
      <c r="AA27" s="179">
        <v>116000</v>
      </c>
      <c r="AB27" s="179">
        <v>0</v>
      </c>
      <c r="AC27" s="179">
        <v>0</v>
      </c>
      <c r="AD27" s="179">
        <v>1278000</v>
      </c>
      <c r="AE27" s="179">
        <v>0</v>
      </c>
      <c r="AF27" s="179">
        <v>1012000</v>
      </c>
      <c r="AG27" s="179">
        <v>0</v>
      </c>
      <c r="AH27" s="179">
        <v>112000</v>
      </c>
      <c r="AI27" s="126">
        <v>0</v>
      </c>
      <c r="AJ27" s="127">
        <v>1.6400000000000001E-2</v>
      </c>
      <c r="AK27" s="179">
        <v>0</v>
      </c>
    </row>
    <row r="28" spans="1:38">
      <c r="A28" s="245" t="s">
        <v>119</v>
      </c>
      <c r="B28" s="246" t="s">
        <v>120</v>
      </c>
      <c r="C28" s="246" t="s">
        <v>121</v>
      </c>
      <c r="D28" s="121" t="s">
        <v>43</v>
      </c>
      <c r="E28" s="121" t="s">
        <v>44</v>
      </c>
      <c r="F28" s="121" t="s">
        <v>1348</v>
      </c>
      <c r="G28" s="246" t="s">
        <v>365</v>
      </c>
      <c r="H28" s="121" t="s">
        <v>45</v>
      </c>
      <c r="I28" s="246" t="s">
        <v>46</v>
      </c>
      <c r="J28" s="247">
        <v>13597326674</v>
      </c>
      <c r="O28" s="229">
        <v>1.4999999999999999E-2</v>
      </c>
      <c r="P28" s="229" t="s">
        <v>122</v>
      </c>
      <c r="Q28" s="229" t="s">
        <v>122</v>
      </c>
      <c r="R28" s="123">
        <v>1E-3</v>
      </c>
      <c r="S28" s="230">
        <v>2.5000000000000001E-4</v>
      </c>
      <c r="T28" s="123">
        <f>SUM(O28:S28)</f>
        <v>1.6250000000000001E-2</v>
      </c>
      <c r="U28" s="177">
        <f>SUM(V28:AH28)</f>
        <v>133887827</v>
      </c>
      <c r="V28" s="231">
        <v>114722546</v>
      </c>
      <c r="W28" s="231" t="s">
        <v>122</v>
      </c>
      <c r="X28" s="231" t="s">
        <v>122</v>
      </c>
      <c r="Y28" s="231">
        <v>13572204</v>
      </c>
      <c r="Z28" s="231">
        <v>1968500</v>
      </c>
      <c r="AA28" s="231">
        <v>3392000</v>
      </c>
      <c r="AB28" s="231" t="s">
        <v>122</v>
      </c>
      <c r="AC28" s="231" t="s">
        <v>122</v>
      </c>
      <c r="AD28" s="231" t="s">
        <v>122</v>
      </c>
      <c r="AE28" s="231"/>
      <c r="AF28" s="231">
        <v>182392</v>
      </c>
      <c r="AG28" s="231"/>
      <c r="AH28" s="231">
        <v>50185</v>
      </c>
    </row>
    <row r="29" spans="1:38">
      <c r="A29" s="245" t="s">
        <v>123</v>
      </c>
      <c r="B29" s="246" t="s">
        <v>124</v>
      </c>
      <c r="C29" s="246" t="s">
        <v>121</v>
      </c>
      <c r="D29" s="121" t="s">
        <v>43</v>
      </c>
      <c r="E29" s="121" t="s">
        <v>44</v>
      </c>
      <c r="F29" s="121" t="s">
        <v>1348</v>
      </c>
      <c r="G29" s="121" t="s">
        <v>48</v>
      </c>
      <c r="H29" s="121" t="s">
        <v>45</v>
      </c>
      <c r="I29" s="246" t="s">
        <v>46</v>
      </c>
      <c r="J29" s="247">
        <v>376254456</v>
      </c>
      <c r="O29" s="229">
        <v>1.4999999999999999E-2</v>
      </c>
      <c r="P29" s="229" t="s">
        <v>122</v>
      </c>
      <c r="Q29" s="229" t="s">
        <v>122</v>
      </c>
      <c r="R29" s="123">
        <v>1E-3</v>
      </c>
      <c r="S29" s="230">
        <v>2.5000000000000001E-4</v>
      </c>
      <c r="T29" s="123">
        <f t="shared" ref="T29:T31" si="1">SUM(O29:S29)</f>
        <v>1.6250000000000001E-2</v>
      </c>
      <c r="U29" s="177">
        <f>SUM(V29:AH29)</f>
        <v>5830391</v>
      </c>
      <c r="V29" s="177">
        <v>4881959</v>
      </c>
      <c r="W29" s="177" t="s">
        <v>122</v>
      </c>
      <c r="X29" s="177" t="s">
        <v>122</v>
      </c>
      <c r="Y29" s="177">
        <v>375537</v>
      </c>
      <c r="Z29" s="177">
        <v>317500</v>
      </c>
      <c r="AA29" s="177">
        <v>94748</v>
      </c>
      <c r="AB29" s="177" t="s">
        <v>122</v>
      </c>
      <c r="AC29" s="177" t="s">
        <v>122</v>
      </c>
      <c r="AD29" s="177" t="s">
        <v>122</v>
      </c>
      <c r="AF29" s="177">
        <v>60303</v>
      </c>
      <c r="AH29" s="177">
        <v>100344</v>
      </c>
    </row>
    <row r="30" spans="1:38">
      <c r="A30" s="245" t="s">
        <v>125</v>
      </c>
      <c r="B30" s="246" t="s">
        <v>126</v>
      </c>
      <c r="C30" s="246" t="s">
        <v>121</v>
      </c>
      <c r="D30" s="121" t="s">
        <v>43</v>
      </c>
      <c r="E30" s="121" t="s">
        <v>44</v>
      </c>
      <c r="F30" s="121" t="s">
        <v>1349</v>
      </c>
      <c r="G30" s="121" t="s">
        <v>58</v>
      </c>
      <c r="H30" s="121" t="s">
        <v>45</v>
      </c>
      <c r="I30" s="246" t="s">
        <v>46</v>
      </c>
      <c r="J30" s="247">
        <v>260059809</v>
      </c>
      <c r="O30" s="229">
        <v>1.4999999999999999E-2</v>
      </c>
      <c r="P30" s="229" t="s">
        <v>122</v>
      </c>
      <c r="Q30" s="229" t="s">
        <v>122</v>
      </c>
      <c r="R30" s="123">
        <v>1.5E-3</v>
      </c>
      <c r="S30" s="230">
        <v>2.5000000000000001E-4</v>
      </c>
      <c r="T30" s="123">
        <f t="shared" si="1"/>
        <v>1.6750000000000001E-2</v>
      </c>
      <c r="U30" s="177">
        <f>SUM(V30:AH30)</f>
        <v>5065596</v>
      </c>
      <c r="V30" s="177">
        <v>3900672</v>
      </c>
      <c r="W30" s="177" t="s">
        <v>122</v>
      </c>
      <c r="X30" s="177" t="s">
        <v>122</v>
      </c>
      <c r="Y30" s="177">
        <v>390070</v>
      </c>
      <c r="Z30" s="177">
        <v>381000</v>
      </c>
      <c r="AA30" s="177">
        <v>64742</v>
      </c>
      <c r="AB30" s="177" t="s">
        <v>122</v>
      </c>
      <c r="AC30" s="177" t="s">
        <v>122</v>
      </c>
      <c r="AD30" s="177">
        <v>183367</v>
      </c>
      <c r="AF30" s="177">
        <v>60260</v>
      </c>
      <c r="AH30" s="177">
        <v>85485</v>
      </c>
    </row>
    <row r="31" spans="1:38">
      <c r="A31" s="245" t="s">
        <v>127</v>
      </c>
      <c r="B31" s="246" t="s">
        <v>128</v>
      </c>
      <c r="C31" s="246" t="s">
        <v>121</v>
      </c>
      <c r="D31" s="121" t="s">
        <v>43</v>
      </c>
      <c r="E31" s="121" t="s">
        <v>44</v>
      </c>
      <c r="F31" s="121" t="s">
        <v>55</v>
      </c>
      <c r="G31" s="121" t="s">
        <v>88</v>
      </c>
      <c r="H31" s="121" t="s">
        <v>45</v>
      </c>
      <c r="I31" s="246" t="s">
        <v>46</v>
      </c>
      <c r="J31" s="247">
        <v>118497683</v>
      </c>
      <c r="O31" s="229">
        <v>0.01</v>
      </c>
      <c r="P31" s="229" t="s">
        <v>122</v>
      </c>
      <c r="Q31" s="229" t="s">
        <v>122</v>
      </c>
      <c r="R31" s="123">
        <v>5.0000000000000001E-4</v>
      </c>
      <c r="S31" s="230">
        <v>2.5000000000000001E-4</v>
      </c>
      <c r="T31" s="123">
        <f t="shared" si="1"/>
        <v>1.0750000000000001E-2</v>
      </c>
      <c r="U31" s="177">
        <f>SUM(V31:AH31)</f>
        <v>1167716</v>
      </c>
      <c r="V31" s="177">
        <v>583451</v>
      </c>
      <c r="W31" s="177" t="s">
        <v>122</v>
      </c>
      <c r="X31" s="177" t="s">
        <v>122</v>
      </c>
      <c r="Y31" s="177">
        <v>59239</v>
      </c>
      <c r="Z31" s="177">
        <v>317500</v>
      </c>
      <c r="AA31" s="177">
        <v>29716</v>
      </c>
      <c r="AB31" s="177" t="s">
        <v>122</v>
      </c>
      <c r="AC31" s="177" t="s">
        <v>122</v>
      </c>
      <c r="AD31" s="177">
        <v>28518</v>
      </c>
      <c r="AF31" s="177">
        <v>61952</v>
      </c>
      <c r="AH31" s="177">
        <v>87340</v>
      </c>
    </row>
    <row r="32" spans="1:38">
      <c r="A32" s="28" t="s">
        <v>129</v>
      </c>
      <c r="B32" s="9" t="s">
        <v>130</v>
      </c>
      <c r="C32" s="9" t="s">
        <v>131</v>
      </c>
      <c r="D32" s="100" t="s">
        <v>43</v>
      </c>
      <c r="E32" s="100" t="s">
        <v>44</v>
      </c>
      <c r="F32" s="100" t="s">
        <v>132</v>
      </c>
      <c r="G32" s="121" t="s">
        <v>116</v>
      </c>
      <c r="H32" s="121" t="s">
        <v>45</v>
      </c>
      <c r="I32" s="121" t="s">
        <v>46</v>
      </c>
      <c r="J32" s="180">
        <v>1901825813</v>
      </c>
      <c r="K32" s="177" t="s">
        <v>122</v>
      </c>
      <c r="L32" s="121" t="s">
        <v>122</v>
      </c>
      <c r="M32" s="129">
        <v>-0.43169999999999997</v>
      </c>
      <c r="N32" s="129">
        <v>3.85E-2</v>
      </c>
      <c r="O32" s="229">
        <v>1.4999999999999999E-2</v>
      </c>
      <c r="P32" s="229">
        <v>0</v>
      </c>
      <c r="Q32" s="229" t="s">
        <v>122</v>
      </c>
      <c r="R32" s="123">
        <v>8.9999999999999998E-4</v>
      </c>
      <c r="S32" s="123">
        <v>2.5000000000000001E-4</v>
      </c>
      <c r="T32" s="123">
        <v>7.9000000000000008E-3</v>
      </c>
      <c r="U32" s="231">
        <v>142558504</v>
      </c>
      <c r="V32" s="231">
        <v>12250257</v>
      </c>
      <c r="W32" s="231">
        <v>0</v>
      </c>
      <c r="X32" s="231">
        <v>0</v>
      </c>
      <c r="Y32" s="231">
        <v>1711640</v>
      </c>
      <c r="Z32" s="231">
        <v>1320000</v>
      </c>
      <c r="AA32" s="231">
        <v>475000</v>
      </c>
      <c r="AB32" s="231">
        <v>1646400</v>
      </c>
      <c r="AC32" s="231">
        <v>2120000</v>
      </c>
      <c r="AD32" s="231">
        <v>0</v>
      </c>
      <c r="AE32" s="231">
        <v>0</v>
      </c>
      <c r="AF32" s="231">
        <v>177810</v>
      </c>
      <c r="AG32" s="231">
        <f>1523303-20818</f>
        <v>1502485</v>
      </c>
      <c r="AH32" s="231">
        <f>U32-V32-W32-X32-Y32-Z32-AA32-AG32-AF32-AB32-AC32-AD32-AE32</f>
        <v>121354912</v>
      </c>
      <c r="AI32" s="121">
        <v>0</v>
      </c>
      <c r="AJ32" s="123">
        <v>7.9000000000000008E-3</v>
      </c>
      <c r="AK32" s="177">
        <v>0</v>
      </c>
    </row>
    <row r="33" spans="1:37">
      <c r="A33" s="248" t="s">
        <v>133</v>
      </c>
      <c r="B33" s="249" t="s">
        <v>134</v>
      </c>
      <c r="C33" s="249" t="s">
        <v>135</v>
      </c>
      <c r="D33" s="128" t="s">
        <v>43</v>
      </c>
      <c r="E33" s="128" t="s">
        <v>44</v>
      </c>
      <c r="F33" s="128" t="s">
        <v>1348</v>
      </c>
      <c r="G33" s="128" t="s">
        <v>641</v>
      </c>
      <c r="H33" s="128" t="s">
        <v>45</v>
      </c>
      <c r="I33" s="128" t="s">
        <v>46</v>
      </c>
      <c r="J33" s="180">
        <v>171158353.08366534</v>
      </c>
      <c r="K33" s="180"/>
      <c r="L33" s="128"/>
      <c r="M33" s="128">
        <v>1.5900000000000001E-2</v>
      </c>
      <c r="N33" s="128" t="s">
        <v>136</v>
      </c>
      <c r="O33" s="250" t="s">
        <v>137</v>
      </c>
      <c r="P33" s="250"/>
      <c r="Q33" s="250"/>
      <c r="R33" s="129" t="s">
        <v>138</v>
      </c>
      <c r="S33" s="129"/>
      <c r="T33" s="129"/>
      <c r="U33" s="180">
        <v>3352266</v>
      </c>
      <c r="V33" s="180">
        <v>86421</v>
      </c>
      <c r="W33" s="180"/>
      <c r="X33" s="180">
        <v>85527</v>
      </c>
      <c r="Y33" s="180">
        <v>600000</v>
      </c>
      <c r="Z33" s="180">
        <v>2506019</v>
      </c>
      <c r="AA33" s="180">
        <v>43000</v>
      </c>
      <c r="AB33" s="180"/>
      <c r="AC33" s="180"/>
      <c r="AD33" s="180"/>
      <c r="AE33" s="180"/>
      <c r="AF33" s="180">
        <v>7639</v>
      </c>
      <c r="AG33" s="180"/>
      <c r="AH33" s="180">
        <v>23660</v>
      </c>
      <c r="AI33" s="128"/>
      <c r="AJ33" s="129">
        <v>8.8000000000000005E-3</v>
      </c>
      <c r="AK33" s="180"/>
    </row>
    <row r="34" spans="1:37">
      <c r="A34" s="248" t="s">
        <v>139</v>
      </c>
      <c r="B34" s="249" t="s">
        <v>140</v>
      </c>
      <c r="C34" s="249" t="s">
        <v>135</v>
      </c>
      <c r="D34" s="128" t="s">
        <v>43</v>
      </c>
      <c r="E34" s="128" t="s">
        <v>44</v>
      </c>
      <c r="F34" s="128" t="s">
        <v>1348</v>
      </c>
      <c r="G34" s="128" t="s">
        <v>641</v>
      </c>
      <c r="H34" s="128" t="s">
        <v>45</v>
      </c>
      <c r="I34" s="128" t="s">
        <v>46</v>
      </c>
      <c r="J34" s="180">
        <v>1115455608.9282868</v>
      </c>
      <c r="K34" s="180"/>
      <c r="L34" s="128"/>
      <c r="M34" s="128">
        <v>3.1800000000000002E-2</v>
      </c>
      <c r="N34" s="128" t="s">
        <v>136</v>
      </c>
      <c r="O34" s="250" t="s">
        <v>137</v>
      </c>
      <c r="P34" s="250"/>
      <c r="Q34" s="250"/>
      <c r="R34" s="129" t="s">
        <v>141</v>
      </c>
      <c r="S34" s="129"/>
      <c r="T34" s="129"/>
      <c r="U34" s="180">
        <v>4537275</v>
      </c>
      <c r="V34" s="180">
        <v>544096</v>
      </c>
      <c r="W34" s="180"/>
      <c r="X34" s="180">
        <v>543364</v>
      </c>
      <c r="Y34" s="180">
        <v>615294</v>
      </c>
      <c r="Z34" s="180">
        <v>2506019</v>
      </c>
      <c r="AA34" s="180">
        <v>279000</v>
      </c>
      <c r="AB34" s="180"/>
      <c r="AC34" s="180"/>
      <c r="AD34" s="180"/>
      <c r="AE34" s="180"/>
      <c r="AF34" s="180">
        <v>6972</v>
      </c>
      <c r="AG34" s="180"/>
      <c r="AH34" s="180">
        <v>42530</v>
      </c>
      <c r="AI34" s="130"/>
      <c r="AJ34" s="129">
        <v>3.3E-3</v>
      </c>
      <c r="AK34" s="180"/>
    </row>
    <row r="35" spans="1:37">
      <c r="A35" s="248" t="s">
        <v>142</v>
      </c>
      <c r="B35" s="249" t="s">
        <v>143</v>
      </c>
      <c r="C35" s="249" t="s">
        <v>135</v>
      </c>
      <c r="D35" s="128" t="s">
        <v>43</v>
      </c>
      <c r="E35" s="128" t="s">
        <v>44</v>
      </c>
      <c r="F35" s="128" t="s">
        <v>1348</v>
      </c>
      <c r="G35" s="128" t="s">
        <v>641</v>
      </c>
      <c r="H35" s="128" t="s">
        <v>45</v>
      </c>
      <c r="I35" s="128" t="s">
        <v>46</v>
      </c>
      <c r="J35" s="180">
        <v>452589163.49800795</v>
      </c>
      <c r="K35" s="180"/>
      <c r="L35" s="128"/>
      <c r="M35" s="128">
        <v>2.7699999999999999E-2</v>
      </c>
      <c r="N35" s="128" t="s">
        <v>136</v>
      </c>
      <c r="O35" s="250" t="s">
        <v>137</v>
      </c>
      <c r="P35" s="250"/>
      <c r="Q35" s="250"/>
      <c r="R35" s="129" t="s">
        <v>141</v>
      </c>
      <c r="S35" s="129"/>
      <c r="T35" s="129"/>
      <c r="U35" s="180">
        <v>3705177</v>
      </c>
      <c r="V35" s="180">
        <v>243002</v>
      </c>
      <c r="W35" s="180"/>
      <c r="X35" s="180">
        <v>206917</v>
      </c>
      <c r="Y35" s="180">
        <v>600000</v>
      </c>
      <c r="Z35" s="180">
        <v>2506019</v>
      </c>
      <c r="AA35" s="180">
        <v>113000</v>
      </c>
      <c r="AB35" s="180"/>
      <c r="AC35" s="180"/>
      <c r="AD35" s="180"/>
      <c r="AE35" s="180"/>
      <c r="AF35" s="180">
        <v>7806</v>
      </c>
      <c r="AG35" s="180"/>
      <c r="AH35" s="180">
        <v>28433</v>
      </c>
      <c r="AI35" s="130"/>
      <c r="AJ35" s="129">
        <v>3.8999999999999998E-3</v>
      </c>
      <c r="AK35" s="180"/>
    </row>
    <row r="36" spans="1:37">
      <c r="A36" s="248" t="s">
        <v>144</v>
      </c>
      <c r="B36" s="249" t="s">
        <v>145</v>
      </c>
      <c r="C36" s="249" t="s">
        <v>135</v>
      </c>
      <c r="D36" s="128" t="s">
        <v>43</v>
      </c>
      <c r="E36" s="128" t="s">
        <v>44</v>
      </c>
      <c r="F36" s="128" t="s">
        <v>1348</v>
      </c>
      <c r="G36" s="128" t="s">
        <v>641</v>
      </c>
      <c r="H36" s="128" t="s">
        <v>45</v>
      </c>
      <c r="I36" s="128" t="s">
        <v>46</v>
      </c>
      <c r="J36" s="180">
        <v>410147224.91235059</v>
      </c>
      <c r="K36" s="180"/>
      <c r="L36" s="128"/>
      <c r="M36" s="128">
        <v>2.7E-2</v>
      </c>
      <c r="N36" s="128" t="s">
        <v>136</v>
      </c>
      <c r="O36" s="250" t="s">
        <v>137</v>
      </c>
      <c r="P36" s="250"/>
      <c r="Q36" s="250"/>
      <c r="R36" s="129" t="s">
        <v>141</v>
      </c>
      <c r="S36" s="129"/>
      <c r="T36" s="129"/>
      <c r="U36" s="180">
        <v>3662759</v>
      </c>
      <c r="V36" s="180">
        <v>205989</v>
      </c>
      <c r="W36" s="180"/>
      <c r="X36" s="180">
        <v>194273</v>
      </c>
      <c r="Y36" s="180">
        <v>600000</v>
      </c>
      <c r="Z36" s="180">
        <v>2506019</v>
      </c>
      <c r="AA36" s="180">
        <v>112000</v>
      </c>
      <c r="AB36" s="180"/>
      <c r="AC36" s="180"/>
      <c r="AD36" s="180"/>
      <c r="AE36" s="180"/>
      <c r="AF36" s="180">
        <v>7474</v>
      </c>
      <c r="AG36" s="180"/>
      <c r="AH36" s="180">
        <v>37004</v>
      </c>
      <c r="AI36" s="130"/>
      <c r="AJ36" s="129">
        <v>6.3E-3</v>
      </c>
      <c r="AK36" s="180"/>
    </row>
    <row r="37" spans="1:37">
      <c r="A37" s="248" t="s">
        <v>146</v>
      </c>
      <c r="B37" s="249" t="s">
        <v>147</v>
      </c>
      <c r="C37" s="249" t="s">
        <v>135</v>
      </c>
      <c r="D37" s="128" t="s">
        <v>43</v>
      </c>
      <c r="E37" s="128" t="s">
        <v>44</v>
      </c>
      <c r="F37" s="128" t="s">
        <v>1348</v>
      </c>
      <c r="G37" s="128" t="s">
        <v>641</v>
      </c>
      <c r="H37" s="128" t="s">
        <v>45</v>
      </c>
      <c r="I37" s="128" t="s">
        <v>46</v>
      </c>
      <c r="J37" s="180">
        <v>375947454.24302787</v>
      </c>
      <c r="K37" s="180"/>
      <c r="L37" s="128"/>
      <c r="M37" s="128">
        <v>2.6100000000000002E-2</v>
      </c>
      <c r="N37" s="128" t="s">
        <v>136</v>
      </c>
      <c r="O37" s="250" t="s">
        <v>137</v>
      </c>
      <c r="P37" s="250"/>
      <c r="Q37" s="250"/>
      <c r="R37" s="129" t="s">
        <v>138</v>
      </c>
      <c r="S37" s="129"/>
      <c r="T37" s="129"/>
      <c r="U37" s="180">
        <v>3596450</v>
      </c>
      <c r="V37" s="180">
        <v>186854</v>
      </c>
      <c r="W37" s="180"/>
      <c r="X37" s="180">
        <v>187673</v>
      </c>
      <c r="Y37" s="180">
        <v>600000</v>
      </c>
      <c r="Z37" s="180">
        <v>2496990</v>
      </c>
      <c r="AA37" s="180">
        <v>95000</v>
      </c>
      <c r="AB37" s="180"/>
      <c r="AC37" s="180"/>
      <c r="AD37" s="180"/>
      <c r="AE37" s="180"/>
      <c r="AF37" s="180">
        <v>8673</v>
      </c>
      <c r="AG37" s="180"/>
      <c r="AH37" s="180">
        <v>21260</v>
      </c>
      <c r="AI37" s="130"/>
      <c r="AJ37" s="129">
        <v>6.0000000000000001E-3</v>
      </c>
      <c r="AK37" s="180"/>
    </row>
    <row r="38" spans="1:37">
      <c r="A38" s="248" t="s">
        <v>148</v>
      </c>
      <c r="B38" s="249" t="s">
        <v>149</v>
      </c>
      <c r="C38" s="249" t="s">
        <v>135</v>
      </c>
      <c r="D38" s="128" t="s">
        <v>43</v>
      </c>
      <c r="E38" s="128" t="s">
        <v>44</v>
      </c>
      <c r="F38" s="128" t="s">
        <v>1348</v>
      </c>
      <c r="G38" s="128" t="s">
        <v>641</v>
      </c>
      <c r="H38" s="128" t="s">
        <v>45</v>
      </c>
      <c r="I38" s="128" t="s">
        <v>46</v>
      </c>
      <c r="J38" s="180">
        <v>590409101.07171309</v>
      </c>
      <c r="K38" s="180"/>
      <c r="L38" s="128"/>
      <c r="M38" s="128">
        <v>2.9499999999999998E-2</v>
      </c>
      <c r="N38" s="128" t="s">
        <v>136</v>
      </c>
      <c r="O38" s="250" t="s">
        <v>137</v>
      </c>
      <c r="P38" s="250"/>
      <c r="Q38" s="250"/>
      <c r="R38" s="129" t="s">
        <v>138</v>
      </c>
      <c r="S38" s="129"/>
      <c r="T38" s="129"/>
      <c r="U38" s="180">
        <v>3872419</v>
      </c>
      <c r="V38" s="180">
        <v>297518</v>
      </c>
      <c r="W38" s="180"/>
      <c r="X38" s="180">
        <v>292982</v>
      </c>
      <c r="Y38" s="180">
        <v>600000</v>
      </c>
      <c r="Z38" s="180">
        <v>2506019</v>
      </c>
      <c r="AA38" s="180">
        <v>147000</v>
      </c>
      <c r="AB38" s="180"/>
      <c r="AC38" s="180"/>
      <c r="AD38" s="180"/>
      <c r="AE38" s="180"/>
      <c r="AF38" s="180">
        <v>7639</v>
      </c>
      <c r="AG38" s="180"/>
      <c r="AH38" s="180">
        <v>21261</v>
      </c>
      <c r="AI38" s="130"/>
      <c r="AJ38" s="129">
        <v>4.1999999999999997E-3</v>
      </c>
      <c r="AK38" s="180"/>
    </row>
    <row r="39" spans="1:37">
      <c r="A39" s="248" t="s">
        <v>150</v>
      </c>
      <c r="B39" s="249" t="s">
        <v>151</v>
      </c>
      <c r="C39" s="249" t="s">
        <v>135</v>
      </c>
      <c r="D39" s="128" t="s">
        <v>43</v>
      </c>
      <c r="E39" s="128" t="s">
        <v>44</v>
      </c>
      <c r="F39" s="128" t="s">
        <v>1348</v>
      </c>
      <c r="G39" s="128" t="s">
        <v>641</v>
      </c>
      <c r="H39" s="128" t="s">
        <v>45</v>
      </c>
      <c r="I39" s="128" t="s">
        <v>46</v>
      </c>
      <c r="J39" s="180">
        <v>661773922.60557771</v>
      </c>
      <c r="K39" s="180"/>
      <c r="L39" s="128"/>
      <c r="M39" s="128">
        <v>2.9899999999999999E-2</v>
      </c>
      <c r="N39" s="128" t="s">
        <v>136</v>
      </c>
      <c r="O39" s="250" t="s">
        <v>137</v>
      </c>
      <c r="P39" s="250"/>
      <c r="Q39" s="250"/>
      <c r="R39" s="129" t="s">
        <v>138</v>
      </c>
      <c r="S39" s="129"/>
      <c r="T39" s="129"/>
      <c r="U39" s="180">
        <v>3957359</v>
      </c>
      <c r="V39" s="180">
        <v>331743</v>
      </c>
      <c r="W39" s="180"/>
      <c r="X39" s="180">
        <v>319643</v>
      </c>
      <c r="Y39" s="180">
        <v>600000</v>
      </c>
      <c r="Z39" s="180">
        <v>2496990</v>
      </c>
      <c r="AA39" s="180">
        <v>165000</v>
      </c>
      <c r="AB39" s="180"/>
      <c r="AC39" s="180"/>
      <c r="AD39" s="180"/>
      <c r="AE39" s="180"/>
      <c r="AF39" s="180">
        <v>7473</v>
      </c>
      <c r="AG39" s="180"/>
      <c r="AH39" s="180">
        <v>36510</v>
      </c>
      <c r="AI39" s="130"/>
      <c r="AJ39" s="129">
        <v>4.5999999999999999E-3</v>
      </c>
      <c r="AK39" s="180"/>
    </row>
    <row r="40" spans="1:37">
      <c r="A40" s="248" t="s">
        <v>152</v>
      </c>
      <c r="B40" s="249" t="s">
        <v>153</v>
      </c>
      <c r="C40" s="249" t="s">
        <v>135</v>
      </c>
      <c r="D40" s="128" t="s">
        <v>43</v>
      </c>
      <c r="E40" s="128" t="s">
        <v>44</v>
      </c>
      <c r="F40" s="128" t="s">
        <v>1348</v>
      </c>
      <c r="G40" s="128" t="s">
        <v>81</v>
      </c>
      <c r="H40" s="128" t="s">
        <v>45</v>
      </c>
      <c r="I40" s="128" t="s">
        <v>46</v>
      </c>
      <c r="J40" s="180">
        <v>43344909254.139442</v>
      </c>
      <c r="K40" s="180"/>
      <c r="L40" s="128"/>
      <c r="M40" s="128">
        <v>4.9299999999999997E-2</v>
      </c>
      <c r="N40" s="128" t="s">
        <v>136</v>
      </c>
      <c r="O40" s="250" t="s">
        <v>154</v>
      </c>
      <c r="P40" s="250"/>
      <c r="Q40" s="250"/>
      <c r="R40" s="129" t="s">
        <v>155</v>
      </c>
      <c r="S40" s="129"/>
      <c r="T40" s="129"/>
      <c r="U40" s="180">
        <v>678780524.96000004</v>
      </c>
      <c r="V40" s="180">
        <v>312643126</v>
      </c>
      <c r="W40" s="180"/>
      <c r="X40" s="180">
        <v>333892520</v>
      </c>
      <c r="Y40" s="180">
        <v>17275255</v>
      </c>
      <c r="Z40" s="180">
        <v>3740809</v>
      </c>
      <c r="AA40" s="180">
        <v>10837000</v>
      </c>
      <c r="AB40" s="180"/>
      <c r="AC40" s="180"/>
      <c r="AD40" s="180"/>
      <c r="AE40" s="180"/>
      <c r="AF40" s="180">
        <v>391224</v>
      </c>
      <c r="AG40" s="180"/>
      <c r="AH40" s="180">
        <v>590.96</v>
      </c>
      <c r="AI40" s="130"/>
      <c r="AJ40" s="129">
        <v>1.5800000000000002E-2</v>
      </c>
      <c r="AK40" s="180"/>
    </row>
    <row r="41" spans="1:37">
      <c r="A41" s="248" t="s">
        <v>156</v>
      </c>
      <c r="B41" s="249" t="s">
        <v>153</v>
      </c>
      <c r="C41" s="249" t="s">
        <v>135</v>
      </c>
      <c r="D41" s="128"/>
      <c r="E41" s="128"/>
      <c r="F41" s="128"/>
      <c r="G41" s="128"/>
      <c r="H41" s="128"/>
      <c r="I41" s="128" t="s">
        <v>46</v>
      </c>
      <c r="J41" s="180">
        <v>52348007510.111115</v>
      </c>
      <c r="K41" s="180"/>
      <c r="L41" s="128"/>
      <c r="M41" s="128"/>
      <c r="N41" s="128" t="s">
        <v>136</v>
      </c>
      <c r="O41" s="250"/>
      <c r="P41" s="250"/>
      <c r="Q41" s="250"/>
      <c r="R41" s="129"/>
      <c r="S41" s="129"/>
      <c r="T41" s="129"/>
      <c r="U41" s="180"/>
      <c r="V41" s="180"/>
      <c r="W41" s="180"/>
      <c r="X41" s="180"/>
      <c r="Y41" s="180"/>
      <c r="Z41" s="180"/>
      <c r="AA41" s="180"/>
      <c r="AB41" s="180"/>
      <c r="AC41" s="180"/>
      <c r="AD41" s="180"/>
      <c r="AE41" s="180"/>
      <c r="AF41" s="180"/>
      <c r="AG41" s="180"/>
      <c r="AH41" s="180"/>
      <c r="AI41" s="130"/>
      <c r="AJ41" s="129"/>
      <c r="AK41" s="180"/>
    </row>
    <row r="42" spans="1:37">
      <c r="A42" s="248" t="s">
        <v>157</v>
      </c>
      <c r="B42" s="249" t="s">
        <v>158</v>
      </c>
      <c r="C42" s="249" t="s">
        <v>135</v>
      </c>
      <c r="D42" s="128"/>
      <c r="E42" s="128"/>
      <c r="F42" s="128"/>
      <c r="G42" s="128"/>
      <c r="H42" s="128"/>
      <c r="I42" s="128" t="s">
        <v>46</v>
      </c>
      <c r="J42" s="180">
        <v>0</v>
      </c>
      <c r="K42" s="180"/>
      <c r="L42" s="128"/>
      <c r="M42" s="128"/>
      <c r="N42" s="128" t="s">
        <v>136</v>
      </c>
      <c r="O42" s="250"/>
      <c r="P42" s="250"/>
      <c r="Q42" s="250"/>
      <c r="R42" s="129"/>
      <c r="S42" s="129"/>
      <c r="T42" s="129"/>
      <c r="U42" s="180"/>
      <c r="V42" s="180"/>
      <c r="W42" s="180"/>
      <c r="X42" s="180"/>
      <c r="Y42" s="180"/>
      <c r="Z42" s="180"/>
      <c r="AA42" s="180"/>
      <c r="AB42" s="180"/>
      <c r="AC42" s="180"/>
      <c r="AD42" s="180"/>
      <c r="AE42" s="180"/>
      <c r="AF42" s="180"/>
      <c r="AG42" s="180"/>
      <c r="AH42" s="180"/>
      <c r="AI42" s="130"/>
      <c r="AJ42" s="129"/>
      <c r="AK42" s="180"/>
    </row>
    <row r="43" spans="1:37">
      <c r="A43" s="248" t="s">
        <v>159</v>
      </c>
      <c r="B43" s="249" t="s">
        <v>160</v>
      </c>
      <c r="C43" s="249" t="s">
        <v>135</v>
      </c>
      <c r="D43" s="128" t="s">
        <v>43</v>
      </c>
      <c r="E43" s="128" t="s">
        <v>44</v>
      </c>
      <c r="F43" s="128" t="s">
        <v>1348</v>
      </c>
      <c r="G43" s="128" t="s">
        <v>641</v>
      </c>
      <c r="H43" s="128" t="s">
        <v>45</v>
      </c>
      <c r="I43" s="128" t="s">
        <v>46</v>
      </c>
      <c r="J43" s="180">
        <v>49524002410.649391</v>
      </c>
      <c r="K43" s="180"/>
      <c r="L43" s="128"/>
      <c r="M43" s="128">
        <v>3.5799999999999998E-2</v>
      </c>
      <c r="N43" s="128" t="s">
        <v>136</v>
      </c>
      <c r="O43" s="250" t="s">
        <v>154</v>
      </c>
      <c r="P43" s="250"/>
      <c r="Q43" s="250"/>
      <c r="R43" s="129" t="s">
        <v>161</v>
      </c>
      <c r="S43" s="129"/>
      <c r="T43" s="129"/>
      <c r="U43" s="180">
        <v>780012664</v>
      </c>
      <c r="V43" s="180">
        <v>397717264</v>
      </c>
      <c r="W43" s="180"/>
      <c r="X43" s="180">
        <v>346187045</v>
      </c>
      <c r="Y43" s="180">
        <v>19850430</v>
      </c>
      <c r="Z43" s="180">
        <v>3740809</v>
      </c>
      <c r="AA43" s="180">
        <v>12379000</v>
      </c>
      <c r="AB43" s="180"/>
      <c r="AC43" s="180"/>
      <c r="AD43" s="180"/>
      <c r="AE43" s="180"/>
      <c r="AF43" s="180">
        <v>138116</v>
      </c>
      <c r="AG43" s="180"/>
      <c r="AH43" s="180"/>
      <c r="AI43" s="130"/>
      <c r="AJ43" s="129">
        <v>1.6400000000000001E-2</v>
      </c>
      <c r="AK43" s="180"/>
    </row>
    <row r="44" spans="1:37">
      <c r="A44" s="248" t="s">
        <v>162</v>
      </c>
      <c r="B44" s="249" t="s">
        <v>160</v>
      </c>
      <c r="C44" s="249" t="s">
        <v>135</v>
      </c>
      <c r="D44" s="128"/>
      <c r="E44" s="128"/>
      <c r="F44" s="128"/>
      <c r="G44" s="128"/>
      <c r="H44" s="128"/>
      <c r="I44" s="128" t="s">
        <v>46</v>
      </c>
      <c r="J44" s="180">
        <v>49427314018.222221</v>
      </c>
      <c r="K44" s="180"/>
      <c r="L44" s="128"/>
      <c r="M44" s="128"/>
      <c r="N44" s="128" t="s">
        <v>136</v>
      </c>
      <c r="O44" s="250"/>
      <c r="P44" s="250"/>
      <c r="Q44" s="250"/>
      <c r="R44" s="129"/>
      <c r="S44" s="129"/>
      <c r="T44" s="129"/>
      <c r="U44" s="180"/>
      <c r="V44" s="180"/>
      <c r="W44" s="180"/>
      <c r="X44" s="180"/>
      <c r="Y44" s="180"/>
      <c r="Z44" s="180"/>
      <c r="AA44" s="180"/>
      <c r="AB44" s="180"/>
      <c r="AC44" s="180"/>
      <c r="AD44" s="180"/>
      <c r="AE44" s="180"/>
      <c r="AF44" s="180"/>
      <c r="AG44" s="180"/>
      <c r="AH44" s="180"/>
      <c r="AI44" s="130"/>
      <c r="AJ44" s="129"/>
      <c r="AK44" s="180"/>
    </row>
    <row r="45" spans="1:37">
      <c r="A45" s="248" t="s">
        <v>163</v>
      </c>
      <c r="B45" s="249" t="s">
        <v>164</v>
      </c>
      <c r="C45" s="249" t="s">
        <v>135</v>
      </c>
      <c r="D45" s="128"/>
      <c r="E45" s="128"/>
      <c r="F45" s="128"/>
      <c r="G45" s="128"/>
      <c r="H45" s="128"/>
      <c r="I45" s="128" t="s">
        <v>46</v>
      </c>
      <c r="J45" s="180">
        <v>0</v>
      </c>
      <c r="K45" s="180"/>
      <c r="L45" s="128"/>
      <c r="M45" s="128"/>
      <c r="N45" s="128" t="s">
        <v>136</v>
      </c>
      <c r="O45" s="250"/>
      <c r="P45" s="250"/>
      <c r="Q45" s="250"/>
      <c r="R45" s="129"/>
      <c r="S45" s="129"/>
      <c r="T45" s="129"/>
      <c r="U45" s="180"/>
      <c r="V45" s="180"/>
      <c r="W45" s="180"/>
      <c r="X45" s="180"/>
      <c r="Y45" s="180"/>
      <c r="Z45" s="180"/>
      <c r="AA45" s="180"/>
      <c r="AB45" s="180"/>
      <c r="AC45" s="180"/>
      <c r="AD45" s="180"/>
      <c r="AE45" s="180"/>
      <c r="AF45" s="180"/>
      <c r="AG45" s="180"/>
      <c r="AH45" s="180"/>
      <c r="AI45" s="130"/>
      <c r="AJ45" s="129"/>
      <c r="AK45" s="180"/>
    </row>
    <row r="46" spans="1:37">
      <c r="A46" s="248" t="s">
        <v>165</v>
      </c>
      <c r="B46" s="249" t="s">
        <v>166</v>
      </c>
      <c r="C46" s="249" t="s">
        <v>135</v>
      </c>
      <c r="D46" s="128" t="s">
        <v>43</v>
      </c>
      <c r="E46" s="128" t="s">
        <v>44</v>
      </c>
      <c r="F46" s="128" t="s">
        <v>1348</v>
      </c>
      <c r="G46" s="128" t="s">
        <v>641</v>
      </c>
      <c r="H46" s="128" t="s">
        <v>45</v>
      </c>
      <c r="I46" s="128" t="s">
        <v>46</v>
      </c>
      <c r="J46" s="180">
        <v>23338800863.920319</v>
      </c>
      <c r="K46" s="180"/>
      <c r="L46" s="128"/>
      <c r="M46" s="128"/>
      <c r="N46" s="128" t="s">
        <v>136</v>
      </c>
      <c r="O46" s="250" t="s">
        <v>167</v>
      </c>
      <c r="P46" s="250"/>
      <c r="Q46" s="250"/>
      <c r="R46" s="129" t="s">
        <v>138</v>
      </c>
      <c r="S46" s="129"/>
      <c r="T46" s="129"/>
      <c r="U46" s="180">
        <v>229920850</v>
      </c>
      <c r="V46" s="180">
        <v>107693964</v>
      </c>
      <c r="W46" s="180"/>
      <c r="X46" s="180">
        <v>103219108</v>
      </c>
      <c r="Y46" s="180">
        <v>9373799</v>
      </c>
      <c r="Z46" s="180">
        <v>3740809</v>
      </c>
      <c r="AA46" s="180">
        <v>5843000</v>
      </c>
      <c r="AB46" s="180"/>
      <c r="AC46" s="180"/>
      <c r="AD46" s="180"/>
      <c r="AE46" s="180"/>
      <c r="AF46" s="180">
        <v>25139</v>
      </c>
      <c r="AG46" s="180"/>
      <c r="AH46" s="180">
        <v>25031</v>
      </c>
      <c r="AI46" s="130"/>
      <c r="AJ46" s="129">
        <v>9.7999999999999997E-3</v>
      </c>
      <c r="AK46" s="180"/>
    </row>
    <row r="47" spans="1:37">
      <c r="A47" s="248" t="s">
        <v>168</v>
      </c>
      <c r="B47" s="249" t="s">
        <v>166</v>
      </c>
      <c r="C47" s="249" t="s">
        <v>135</v>
      </c>
      <c r="D47" s="128"/>
      <c r="E47" s="128"/>
      <c r="F47" s="128"/>
      <c r="G47" s="128"/>
      <c r="H47" s="128"/>
      <c r="I47" s="128" t="s">
        <v>46</v>
      </c>
      <c r="J47" s="180">
        <v>3375884333.4501991</v>
      </c>
      <c r="K47" s="180"/>
      <c r="L47" s="128"/>
      <c r="M47" s="128">
        <v>4.02E-2</v>
      </c>
      <c r="N47" s="128" t="s">
        <v>136</v>
      </c>
      <c r="O47" s="250"/>
      <c r="P47" s="250"/>
      <c r="Q47" s="250"/>
      <c r="R47" s="129"/>
      <c r="S47" s="129"/>
      <c r="T47" s="129"/>
      <c r="U47" s="180"/>
      <c r="V47" s="180"/>
      <c r="W47" s="180"/>
      <c r="X47" s="180"/>
      <c r="Y47" s="180"/>
      <c r="Z47" s="180"/>
      <c r="AA47" s="180"/>
      <c r="AB47" s="180"/>
      <c r="AC47" s="180"/>
      <c r="AD47" s="180"/>
      <c r="AE47" s="180"/>
      <c r="AF47" s="180"/>
      <c r="AG47" s="180"/>
      <c r="AH47" s="180"/>
      <c r="AI47" s="130"/>
      <c r="AJ47" s="129"/>
      <c r="AK47" s="180"/>
    </row>
    <row r="48" spans="1:37">
      <c r="A48" s="248" t="s">
        <v>169</v>
      </c>
      <c r="B48" s="249" t="s">
        <v>170</v>
      </c>
      <c r="C48" s="249" t="s">
        <v>135</v>
      </c>
      <c r="D48" s="128"/>
      <c r="E48" s="128"/>
      <c r="F48" s="128"/>
      <c r="G48" s="128"/>
      <c r="H48" s="128"/>
      <c r="I48" s="128" t="s">
        <v>46</v>
      </c>
      <c r="J48" s="180">
        <v>19962916530.478088</v>
      </c>
      <c r="K48" s="180"/>
      <c r="L48" s="128"/>
      <c r="M48" s="128">
        <v>4.02E-2</v>
      </c>
      <c r="N48" s="128" t="s">
        <v>136</v>
      </c>
      <c r="O48" s="250"/>
      <c r="P48" s="250"/>
      <c r="Q48" s="250"/>
      <c r="R48" s="129"/>
      <c r="S48" s="129"/>
      <c r="T48" s="129"/>
      <c r="U48" s="180"/>
      <c r="V48" s="180"/>
      <c r="W48" s="180"/>
      <c r="X48" s="180"/>
      <c r="Y48" s="180"/>
      <c r="Z48" s="180"/>
      <c r="AA48" s="180"/>
      <c r="AB48" s="180"/>
      <c r="AC48" s="180"/>
      <c r="AD48" s="180"/>
      <c r="AE48" s="180"/>
      <c r="AF48" s="180"/>
      <c r="AG48" s="180"/>
      <c r="AH48" s="180"/>
      <c r="AI48" s="130"/>
      <c r="AJ48" s="129"/>
      <c r="AK48" s="180"/>
    </row>
    <row r="49" spans="1:37">
      <c r="A49" s="248" t="s">
        <v>171</v>
      </c>
      <c r="B49" s="249" t="s">
        <v>172</v>
      </c>
      <c r="C49" s="249" t="s">
        <v>135</v>
      </c>
      <c r="D49" s="128"/>
      <c r="E49" s="128"/>
      <c r="F49" s="128"/>
      <c r="G49" s="128"/>
      <c r="H49" s="128"/>
      <c r="I49" s="128" t="s">
        <v>46</v>
      </c>
      <c r="J49" s="180">
        <v>0</v>
      </c>
      <c r="K49" s="180"/>
      <c r="L49" s="128"/>
      <c r="M49" s="128"/>
      <c r="N49" s="128" t="s">
        <v>136</v>
      </c>
      <c r="O49" s="250"/>
      <c r="P49" s="250"/>
      <c r="Q49" s="250"/>
      <c r="R49" s="129"/>
      <c r="S49" s="129"/>
      <c r="T49" s="129"/>
      <c r="U49" s="180"/>
      <c r="V49" s="180"/>
      <c r="W49" s="180"/>
      <c r="X49" s="180"/>
      <c r="Y49" s="180"/>
      <c r="Z49" s="180"/>
      <c r="AA49" s="180"/>
      <c r="AB49" s="180"/>
      <c r="AC49" s="180"/>
      <c r="AD49" s="180"/>
      <c r="AE49" s="180"/>
      <c r="AF49" s="180"/>
      <c r="AG49" s="180"/>
      <c r="AH49" s="180"/>
      <c r="AI49" s="130"/>
      <c r="AJ49" s="129"/>
      <c r="AK49" s="180"/>
    </row>
    <row r="50" spans="1:37">
      <c r="A50" s="248" t="s">
        <v>173</v>
      </c>
      <c r="B50" s="249" t="s">
        <v>174</v>
      </c>
      <c r="C50" s="249" t="s">
        <v>135</v>
      </c>
      <c r="D50" s="128" t="s">
        <v>43</v>
      </c>
      <c r="E50" s="128" t="s">
        <v>44</v>
      </c>
      <c r="F50" s="128" t="s">
        <v>1348</v>
      </c>
      <c r="G50" s="251" t="s">
        <v>365</v>
      </c>
      <c r="H50" s="128" t="s">
        <v>45</v>
      </c>
      <c r="I50" s="128" t="s">
        <v>46</v>
      </c>
      <c r="J50" s="180">
        <v>47810832205.1474</v>
      </c>
      <c r="K50" s="180"/>
      <c r="L50" s="128"/>
      <c r="M50" s="128">
        <v>2.3300000000000001E-2</v>
      </c>
      <c r="N50" s="128" t="s">
        <v>136</v>
      </c>
      <c r="O50" s="250" t="s">
        <v>175</v>
      </c>
      <c r="P50" s="250"/>
      <c r="Q50" s="250"/>
      <c r="R50" s="129" t="s">
        <v>176</v>
      </c>
      <c r="S50" s="129"/>
      <c r="T50" s="129"/>
      <c r="U50" s="180">
        <v>1227614838</v>
      </c>
      <c r="V50" s="180">
        <v>480155983</v>
      </c>
      <c r="W50" s="180"/>
      <c r="X50" s="180">
        <v>717993518</v>
      </c>
      <c r="Y50" s="180">
        <v>14377613</v>
      </c>
      <c r="Z50" s="180">
        <v>3740809</v>
      </c>
      <c r="AA50" s="180">
        <v>11209000</v>
      </c>
      <c r="AB50" s="180"/>
      <c r="AC50" s="180"/>
      <c r="AD50" s="180"/>
      <c r="AE50" s="180"/>
      <c r="AF50" s="180">
        <v>134315</v>
      </c>
      <c r="AG50" s="180"/>
      <c r="AH50" s="180">
        <v>3600</v>
      </c>
      <c r="AI50" s="130"/>
      <c r="AJ50" s="129">
        <v>2.5700000000000001E-2</v>
      </c>
      <c r="AK50" s="180"/>
    </row>
    <row r="51" spans="1:37">
      <c r="A51" s="248" t="s">
        <v>177</v>
      </c>
      <c r="B51" s="249" t="s">
        <v>178</v>
      </c>
      <c r="C51" s="249" t="s">
        <v>135</v>
      </c>
      <c r="D51" s="128" t="s">
        <v>43</v>
      </c>
      <c r="E51" s="128" t="s">
        <v>44</v>
      </c>
      <c r="F51" s="128" t="s">
        <v>1348</v>
      </c>
      <c r="G51" s="128" t="s">
        <v>641</v>
      </c>
      <c r="H51" s="128" t="s">
        <v>45</v>
      </c>
      <c r="I51" s="128" t="s">
        <v>46</v>
      </c>
      <c r="J51" s="180">
        <v>587628060.84063745</v>
      </c>
      <c r="K51" s="180"/>
      <c r="L51" s="128"/>
      <c r="M51" s="128">
        <v>2.92E-2</v>
      </c>
      <c r="N51" s="128" t="s">
        <v>136</v>
      </c>
      <c r="O51" s="250" t="s">
        <v>154</v>
      </c>
      <c r="P51" s="250"/>
      <c r="Q51" s="250"/>
      <c r="R51" s="129" t="s">
        <v>179</v>
      </c>
      <c r="S51" s="129"/>
      <c r="T51" s="129"/>
      <c r="U51" s="180">
        <v>8798331.9399999995</v>
      </c>
      <c r="V51" s="180">
        <v>2443423</v>
      </c>
      <c r="W51" s="180"/>
      <c r="X51" s="180">
        <v>5065331</v>
      </c>
      <c r="Y51" s="180">
        <v>499198</v>
      </c>
      <c r="Z51" s="180">
        <v>646500</v>
      </c>
      <c r="AA51" s="180">
        <v>121000</v>
      </c>
      <c r="AB51" s="180"/>
      <c r="AC51" s="180"/>
      <c r="AD51" s="180"/>
      <c r="AE51" s="180"/>
      <c r="AF51" s="180">
        <v>22879.94</v>
      </c>
      <c r="AG51" s="180"/>
      <c r="AH51" s="180"/>
      <c r="AI51" s="130"/>
      <c r="AJ51" s="129">
        <v>1.7899999999999999E-2</v>
      </c>
      <c r="AK51" s="180"/>
    </row>
    <row r="52" spans="1:37">
      <c r="A52" s="248" t="s">
        <v>180</v>
      </c>
      <c r="B52" s="249" t="s">
        <v>181</v>
      </c>
      <c r="C52" s="249" t="s">
        <v>135</v>
      </c>
      <c r="D52" s="128" t="s">
        <v>43</v>
      </c>
      <c r="E52" s="128" t="s">
        <v>44</v>
      </c>
      <c r="F52" s="128" t="s">
        <v>1348</v>
      </c>
      <c r="G52" s="128" t="s">
        <v>1350</v>
      </c>
      <c r="H52" s="128" t="s">
        <v>45</v>
      </c>
      <c r="I52" s="128" t="s">
        <v>46</v>
      </c>
      <c r="J52" s="180">
        <v>180916117.51394421</v>
      </c>
      <c r="K52" s="180"/>
      <c r="L52" s="128"/>
      <c r="M52" s="128">
        <v>1.8599999999999998E-2</v>
      </c>
      <c r="N52" s="128" t="s">
        <v>136</v>
      </c>
      <c r="O52" s="250" t="s">
        <v>182</v>
      </c>
      <c r="P52" s="250"/>
      <c r="Q52" s="250"/>
      <c r="R52" s="129" t="s">
        <v>176</v>
      </c>
      <c r="S52" s="129"/>
      <c r="T52" s="129"/>
      <c r="U52" s="180">
        <v>4944970.37</v>
      </c>
      <c r="V52" s="180">
        <v>1819719</v>
      </c>
      <c r="W52" s="180"/>
      <c r="X52" s="180">
        <v>1807255</v>
      </c>
      <c r="Y52" s="180">
        <v>200905</v>
      </c>
      <c r="Z52" s="180">
        <v>999753</v>
      </c>
      <c r="AA52" s="180">
        <v>45000</v>
      </c>
      <c r="AB52" s="180"/>
      <c r="AC52" s="180"/>
      <c r="AD52" s="180">
        <v>67119</v>
      </c>
      <c r="AE52" s="180"/>
      <c r="AF52" s="180">
        <v>5219.37</v>
      </c>
      <c r="AG52" s="180"/>
      <c r="AH52" s="180"/>
      <c r="AI52" s="130"/>
      <c r="AJ52" s="129">
        <v>2.5000000000000001E-2</v>
      </c>
      <c r="AK52" s="180"/>
    </row>
    <row r="53" spans="1:37">
      <c r="A53" s="248" t="s">
        <v>183</v>
      </c>
      <c r="B53" s="249" t="s">
        <v>184</v>
      </c>
      <c r="C53" s="249" t="s">
        <v>135</v>
      </c>
      <c r="D53" s="128" t="s">
        <v>43</v>
      </c>
      <c r="E53" s="128" t="s">
        <v>44</v>
      </c>
      <c r="F53" s="128" t="s">
        <v>1348</v>
      </c>
      <c r="G53" s="128" t="s">
        <v>1350</v>
      </c>
      <c r="H53" s="128" t="s">
        <v>62</v>
      </c>
      <c r="I53" s="128" t="s">
        <v>46</v>
      </c>
      <c r="J53" s="180">
        <v>1431532074.0557768</v>
      </c>
      <c r="K53" s="180"/>
      <c r="L53" s="128"/>
      <c r="M53" s="128">
        <v>9.8100000000000007E-2</v>
      </c>
      <c r="N53" s="128" t="s">
        <v>136</v>
      </c>
      <c r="O53" s="250" t="s">
        <v>182</v>
      </c>
      <c r="P53" s="250"/>
      <c r="Q53" s="250"/>
      <c r="R53" s="129" t="s">
        <v>161</v>
      </c>
      <c r="S53" s="129"/>
      <c r="T53" s="129"/>
      <c r="U53" s="180">
        <v>24441715.75</v>
      </c>
      <c r="V53" s="180">
        <v>10844427</v>
      </c>
      <c r="W53" s="180"/>
      <c r="X53" s="180">
        <v>10775987</v>
      </c>
      <c r="Y53" s="180">
        <v>786862</v>
      </c>
      <c r="Z53" s="180">
        <v>1288500</v>
      </c>
      <c r="AA53" s="180">
        <v>358000</v>
      </c>
      <c r="AB53" s="180"/>
      <c r="AC53" s="180"/>
      <c r="AD53" s="180">
        <v>353885</v>
      </c>
      <c r="AE53" s="180"/>
      <c r="AF53" s="180">
        <v>34054.75</v>
      </c>
      <c r="AG53" s="180"/>
      <c r="AH53" s="180"/>
      <c r="AI53" s="130"/>
      <c r="AJ53" s="129">
        <v>1.9300000000000001E-2</v>
      </c>
      <c r="AK53" s="180"/>
    </row>
    <row r="54" spans="1:37">
      <c r="A54" s="248" t="s">
        <v>185</v>
      </c>
      <c r="B54" s="249" t="s">
        <v>186</v>
      </c>
      <c r="C54" s="249" t="s">
        <v>135</v>
      </c>
      <c r="D54" s="128" t="s">
        <v>43</v>
      </c>
      <c r="E54" s="128" t="s">
        <v>44</v>
      </c>
      <c r="F54" s="128" t="s">
        <v>1348</v>
      </c>
      <c r="G54" s="128" t="s">
        <v>666</v>
      </c>
      <c r="H54" s="128" t="s">
        <v>62</v>
      </c>
      <c r="I54" s="128" t="s">
        <v>46</v>
      </c>
      <c r="J54" s="180">
        <v>3017735100.9203186</v>
      </c>
      <c r="K54" s="180"/>
      <c r="L54" s="128"/>
      <c r="M54" s="128">
        <v>-0.2429</v>
      </c>
      <c r="N54" s="128" t="s">
        <v>136</v>
      </c>
      <c r="O54" s="250" t="s">
        <v>182</v>
      </c>
      <c r="P54" s="250"/>
      <c r="Q54" s="250"/>
      <c r="R54" s="129" t="s">
        <v>138</v>
      </c>
      <c r="S54" s="129"/>
      <c r="T54" s="129"/>
      <c r="U54" s="180">
        <v>67878502.49000001</v>
      </c>
      <c r="V54" s="180">
        <v>30287149</v>
      </c>
      <c r="W54" s="180"/>
      <c r="X54" s="180">
        <v>30163197</v>
      </c>
      <c r="Y54" s="180">
        <v>1694406</v>
      </c>
      <c r="Z54" s="180">
        <v>2514650</v>
      </c>
      <c r="AA54" s="180">
        <v>755000</v>
      </c>
      <c r="AB54" s="180"/>
      <c r="AC54" s="180"/>
      <c r="AD54" s="180">
        <v>2436477</v>
      </c>
      <c r="AE54" s="180">
        <v>6120.7200000001467</v>
      </c>
      <c r="AF54" s="180">
        <v>27623.49</v>
      </c>
      <c r="AG54" s="180"/>
      <c r="AH54" s="180"/>
      <c r="AI54" s="130"/>
      <c r="AJ54" s="129">
        <v>2.5600000000000001E-2</v>
      </c>
      <c r="AK54" s="180"/>
    </row>
    <row r="55" spans="1:37">
      <c r="A55" s="248" t="s">
        <v>187</v>
      </c>
      <c r="B55" s="249" t="s">
        <v>186</v>
      </c>
      <c r="C55" s="249" t="s">
        <v>135</v>
      </c>
      <c r="D55" s="128"/>
      <c r="E55" s="128"/>
      <c r="F55" s="128"/>
      <c r="G55" s="128"/>
      <c r="H55" s="128"/>
      <c r="I55" s="128" t="s">
        <v>46</v>
      </c>
      <c r="J55" s="180">
        <v>2614306549.2222223</v>
      </c>
      <c r="K55" s="180"/>
      <c r="L55" s="128"/>
      <c r="M55" s="128"/>
      <c r="N55" s="128" t="s">
        <v>136</v>
      </c>
      <c r="O55" s="250"/>
      <c r="P55" s="250"/>
      <c r="Q55" s="250"/>
      <c r="R55" s="129"/>
      <c r="S55" s="129"/>
      <c r="T55" s="129"/>
      <c r="U55" s="180"/>
      <c r="V55" s="180"/>
      <c r="W55" s="180"/>
      <c r="X55" s="180"/>
      <c r="Y55" s="180"/>
      <c r="Z55" s="180"/>
      <c r="AA55" s="180"/>
      <c r="AB55" s="180"/>
      <c r="AC55" s="180"/>
      <c r="AD55" s="180"/>
      <c r="AE55" s="180"/>
      <c r="AF55" s="180"/>
      <c r="AG55" s="180"/>
      <c r="AH55" s="180"/>
      <c r="AI55" s="130"/>
      <c r="AJ55" s="129"/>
      <c r="AK55" s="180"/>
    </row>
    <row r="56" spans="1:37">
      <c r="A56" s="248" t="s">
        <v>188</v>
      </c>
      <c r="B56" s="249" t="s">
        <v>189</v>
      </c>
      <c r="C56" s="249" t="s">
        <v>135</v>
      </c>
      <c r="D56" s="128"/>
      <c r="E56" s="128"/>
      <c r="F56" s="128"/>
      <c r="G56" s="128"/>
      <c r="H56" s="128"/>
      <c r="I56" s="128" t="s">
        <v>46</v>
      </c>
      <c r="J56" s="180">
        <v>0</v>
      </c>
      <c r="K56" s="180"/>
      <c r="L56" s="128"/>
      <c r="M56" s="128"/>
      <c r="N56" s="128" t="s">
        <v>136</v>
      </c>
      <c r="O56" s="250"/>
      <c r="P56" s="250"/>
      <c r="Q56" s="250"/>
      <c r="R56" s="129"/>
      <c r="S56" s="129"/>
      <c r="T56" s="129"/>
      <c r="U56" s="180"/>
      <c r="V56" s="180"/>
      <c r="W56" s="180"/>
      <c r="X56" s="180"/>
      <c r="Y56" s="180"/>
      <c r="Z56" s="180"/>
      <c r="AA56" s="180"/>
      <c r="AB56" s="180"/>
      <c r="AC56" s="180"/>
      <c r="AD56" s="180"/>
      <c r="AE56" s="180"/>
      <c r="AF56" s="180"/>
      <c r="AG56" s="180"/>
      <c r="AH56" s="180"/>
      <c r="AI56" s="130"/>
      <c r="AJ56" s="129"/>
      <c r="AK56" s="180"/>
    </row>
    <row r="57" spans="1:37">
      <c r="A57" s="248" t="s">
        <v>190</v>
      </c>
      <c r="B57" s="249" t="s">
        <v>191</v>
      </c>
      <c r="C57" s="249" t="s">
        <v>135</v>
      </c>
      <c r="D57" s="128" t="s">
        <v>43</v>
      </c>
      <c r="E57" s="128" t="s">
        <v>44</v>
      </c>
      <c r="F57" s="128" t="s">
        <v>1348</v>
      </c>
      <c r="G57" s="128" t="s">
        <v>1350</v>
      </c>
      <c r="H57" s="128" t="s">
        <v>62</v>
      </c>
      <c r="I57" s="128" t="s">
        <v>46</v>
      </c>
      <c r="J57" s="180"/>
      <c r="K57" s="180"/>
      <c r="L57" s="128"/>
      <c r="M57" s="128"/>
      <c r="N57" s="128" t="s">
        <v>136</v>
      </c>
      <c r="O57" s="250" t="s">
        <v>182</v>
      </c>
      <c r="P57" s="250"/>
      <c r="Q57" s="250"/>
      <c r="R57" s="129" t="s">
        <v>161</v>
      </c>
      <c r="S57" s="129"/>
      <c r="T57" s="129"/>
      <c r="U57" s="180"/>
      <c r="V57" s="180"/>
      <c r="W57" s="180"/>
      <c r="X57" s="180"/>
      <c r="Y57" s="180"/>
      <c r="Z57" s="180"/>
      <c r="AA57" s="180"/>
      <c r="AB57" s="180"/>
      <c r="AC57" s="180"/>
      <c r="AD57" s="180"/>
      <c r="AE57" s="180"/>
      <c r="AF57" s="180"/>
      <c r="AG57" s="180"/>
      <c r="AH57" s="180"/>
      <c r="AI57" s="130"/>
      <c r="AJ57" s="129">
        <v>2.1999999999999999E-2</v>
      </c>
      <c r="AK57" s="180"/>
    </row>
    <row r="58" spans="1:37">
      <c r="A58" s="248" t="s">
        <v>192</v>
      </c>
      <c r="B58" s="249" t="s">
        <v>193</v>
      </c>
      <c r="C58" s="249" t="s">
        <v>135</v>
      </c>
      <c r="D58" s="128" t="s">
        <v>43</v>
      </c>
      <c r="E58" s="128" t="s">
        <v>44</v>
      </c>
      <c r="F58" s="128" t="s">
        <v>1348</v>
      </c>
      <c r="G58" s="128" t="s">
        <v>622</v>
      </c>
      <c r="H58" s="128" t="s">
        <v>45</v>
      </c>
      <c r="I58" s="128" t="s">
        <v>46</v>
      </c>
      <c r="J58" s="180">
        <v>1935207692.25</v>
      </c>
      <c r="K58" s="180"/>
      <c r="L58" s="128"/>
      <c r="M58" s="128"/>
      <c r="N58" s="128" t="s">
        <v>136</v>
      </c>
      <c r="O58" s="250" t="s">
        <v>182</v>
      </c>
      <c r="P58" s="250"/>
      <c r="Q58" s="250"/>
      <c r="R58" s="129" t="s">
        <v>194</v>
      </c>
      <c r="S58" s="129"/>
      <c r="T58" s="129"/>
      <c r="U58" s="180"/>
      <c r="V58" s="180"/>
      <c r="W58" s="180"/>
      <c r="X58" s="180"/>
      <c r="Y58" s="180"/>
      <c r="Z58" s="180"/>
      <c r="AA58" s="180"/>
      <c r="AB58" s="180"/>
      <c r="AC58" s="180"/>
      <c r="AD58" s="180"/>
      <c r="AE58" s="180"/>
      <c r="AF58" s="180"/>
      <c r="AG58" s="180"/>
      <c r="AH58" s="180"/>
      <c r="AI58" s="130"/>
      <c r="AJ58" s="129">
        <v>3.0499999999999999E-2</v>
      </c>
      <c r="AK58" s="180"/>
    </row>
    <row r="59" spans="1:37">
      <c r="A59" s="248" t="s">
        <v>195</v>
      </c>
      <c r="B59" s="249" t="s">
        <v>196</v>
      </c>
      <c r="C59" s="249" t="s">
        <v>135</v>
      </c>
      <c r="D59" s="128" t="s">
        <v>43</v>
      </c>
      <c r="E59" s="128" t="s">
        <v>44</v>
      </c>
      <c r="F59" s="128" t="s">
        <v>1348</v>
      </c>
      <c r="G59" s="128" t="s">
        <v>622</v>
      </c>
      <c r="H59" s="128" t="s">
        <v>45</v>
      </c>
      <c r="I59" s="128" t="s">
        <v>46</v>
      </c>
      <c r="J59" s="180">
        <v>910089726.875</v>
      </c>
      <c r="K59" s="180"/>
      <c r="L59" s="128"/>
      <c r="M59" s="128"/>
      <c r="N59" s="128" t="s">
        <v>136</v>
      </c>
      <c r="O59" s="250" t="s">
        <v>182</v>
      </c>
      <c r="P59" s="250"/>
      <c r="Q59" s="250"/>
      <c r="R59" s="129" t="s">
        <v>194</v>
      </c>
      <c r="S59" s="129"/>
      <c r="T59" s="129"/>
      <c r="U59" s="180"/>
      <c r="V59" s="180"/>
      <c r="W59" s="180"/>
      <c r="X59" s="180"/>
      <c r="Y59" s="180"/>
      <c r="Z59" s="180"/>
      <c r="AA59" s="180"/>
      <c r="AB59" s="180"/>
      <c r="AC59" s="180"/>
      <c r="AD59" s="180"/>
      <c r="AE59" s="180"/>
      <c r="AF59" s="180"/>
      <c r="AG59" s="180"/>
      <c r="AH59" s="180"/>
      <c r="AI59" s="130"/>
      <c r="AJ59" s="129">
        <v>3.0499999999999999E-2</v>
      </c>
      <c r="AK59" s="180"/>
    </row>
    <row r="60" spans="1:37">
      <c r="A60" s="248" t="s">
        <v>197</v>
      </c>
      <c r="B60" s="249" t="s">
        <v>198</v>
      </c>
      <c r="C60" s="249" t="s">
        <v>135</v>
      </c>
      <c r="D60" s="128" t="s">
        <v>43</v>
      </c>
      <c r="E60" s="128" t="s">
        <v>44</v>
      </c>
      <c r="F60" s="128" t="s">
        <v>1348</v>
      </c>
      <c r="G60" s="128" t="s">
        <v>622</v>
      </c>
      <c r="H60" s="128" t="s">
        <v>62</v>
      </c>
      <c r="I60" s="128" t="s">
        <v>46</v>
      </c>
      <c r="J60" s="180">
        <v>3278684825.2669325</v>
      </c>
      <c r="K60" s="180"/>
      <c r="L60" s="128"/>
      <c r="M60" s="128">
        <v>6.0400000000000002E-2</v>
      </c>
      <c r="N60" s="128" t="s">
        <v>136</v>
      </c>
      <c r="O60" s="250" t="s">
        <v>182</v>
      </c>
      <c r="P60" s="250"/>
      <c r="Q60" s="250"/>
      <c r="R60" s="129" t="s">
        <v>138</v>
      </c>
      <c r="S60" s="129"/>
      <c r="T60" s="129"/>
      <c r="U60" s="180">
        <v>47292603</v>
      </c>
      <c r="V60" s="180">
        <v>20566165</v>
      </c>
      <c r="W60" s="180"/>
      <c r="X60" s="180">
        <v>23647215</v>
      </c>
      <c r="Y60" s="180">
        <v>1261185</v>
      </c>
      <c r="Z60" s="180">
        <v>995200</v>
      </c>
      <c r="AA60" s="180">
        <v>819683</v>
      </c>
      <c r="AB60" s="180"/>
      <c r="AC60" s="180"/>
      <c r="AD60" s="180"/>
      <c r="AE60" s="180"/>
      <c r="AF60" s="180">
        <v>3155</v>
      </c>
      <c r="AG60" s="180"/>
      <c r="AH60" s="180">
        <v>0</v>
      </c>
      <c r="AI60" s="130"/>
      <c r="AJ60" s="129">
        <v>0.03</v>
      </c>
      <c r="AK60" s="180"/>
    </row>
    <row r="61" spans="1:37">
      <c r="A61" s="248" t="s">
        <v>199</v>
      </c>
      <c r="B61" s="249" t="s">
        <v>200</v>
      </c>
      <c r="C61" s="249" t="s">
        <v>135</v>
      </c>
      <c r="D61" s="128" t="s">
        <v>43</v>
      </c>
      <c r="E61" s="128" t="s">
        <v>44</v>
      </c>
      <c r="F61" s="128" t="s">
        <v>1348</v>
      </c>
      <c r="G61" s="128" t="s">
        <v>622</v>
      </c>
      <c r="H61" s="128" t="s">
        <v>62</v>
      </c>
      <c r="I61" s="128" t="s">
        <v>46</v>
      </c>
      <c r="J61" s="180">
        <v>4230376738.6461515</v>
      </c>
      <c r="K61" s="180"/>
      <c r="L61" s="128"/>
      <c r="M61" s="128">
        <v>4.4999999999999998E-2</v>
      </c>
      <c r="N61" s="128" t="s">
        <v>136</v>
      </c>
      <c r="O61" s="250" t="s">
        <v>182</v>
      </c>
      <c r="P61" s="250"/>
      <c r="Q61" s="250"/>
      <c r="R61" s="129" t="s">
        <v>138</v>
      </c>
      <c r="S61" s="129"/>
      <c r="T61" s="129"/>
      <c r="U61" s="180">
        <v>58975984</v>
      </c>
      <c r="V61" s="180">
        <v>25860219</v>
      </c>
      <c r="W61" s="180"/>
      <c r="X61" s="180">
        <v>29487411</v>
      </c>
      <c r="Y61" s="180">
        <v>1572662</v>
      </c>
      <c r="Z61" s="180">
        <v>995200</v>
      </c>
      <c r="AA61" s="180">
        <v>1058000</v>
      </c>
      <c r="AB61" s="180"/>
      <c r="AC61" s="180"/>
      <c r="AD61" s="180"/>
      <c r="AE61" s="180"/>
      <c r="AF61" s="180">
        <v>2492</v>
      </c>
      <c r="AG61" s="180"/>
      <c r="AH61" s="180">
        <v>0</v>
      </c>
      <c r="AI61" s="130"/>
      <c r="AJ61" s="129">
        <v>0.02</v>
      </c>
      <c r="AK61" s="180"/>
    </row>
    <row r="62" spans="1:37">
      <c r="A62" s="248" t="s">
        <v>201</v>
      </c>
      <c r="B62" s="249" t="s">
        <v>202</v>
      </c>
      <c r="C62" s="249" t="s">
        <v>135</v>
      </c>
      <c r="D62" s="128" t="s">
        <v>43</v>
      </c>
      <c r="E62" s="128" t="s">
        <v>44</v>
      </c>
      <c r="F62" s="128"/>
      <c r="G62" s="128"/>
      <c r="H62" s="128"/>
      <c r="I62" s="128" t="s">
        <v>46</v>
      </c>
      <c r="J62" s="180">
        <v>851438086.4375</v>
      </c>
      <c r="K62" s="180"/>
      <c r="L62" s="128"/>
      <c r="M62" s="128"/>
      <c r="N62" s="128" t="s">
        <v>136</v>
      </c>
      <c r="O62" s="250"/>
      <c r="P62" s="250"/>
      <c r="Q62" s="250"/>
      <c r="R62" s="129"/>
      <c r="S62" s="129"/>
      <c r="T62" s="129"/>
      <c r="U62" s="181">
        <v>5820159</v>
      </c>
      <c r="V62" s="181">
        <v>2835150</v>
      </c>
      <c r="W62" s="181"/>
      <c r="X62" s="181">
        <v>943993</v>
      </c>
      <c r="Y62" s="181">
        <v>473775</v>
      </c>
      <c r="Z62" s="181">
        <v>1283947</v>
      </c>
      <c r="AA62" s="181">
        <v>251000</v>
      </c>
      <c r="AB62" s="181"/>
      <c r="AC62" s="181"/>
      <c r="AD62" s="181"/>
      <c r="AE62" s="181"/>
      <c r="AF62" s="181">
        <v>9798</v>
      </c>
      <c r="AG62" s="181"/>
      <c r="AH62" s="181">
        <v>22496</v>
      </c>
      <c r="AI62" s="131"/>
      <c r="AJ62" s="132"/>
      <c r="AK62" s="181"/>
    </row>
    <row r="63" spans="1:37">
      <c r="A63" s="248" t="s">
        <v>203</v>
      </c>
      <c r="B63" s="249" t="s">
        <v>202</v>
      </c>
      <c r="C63" s="249" t="s">
        <v>135</v>
      </c>
      <c r="D63" s="128" t="s">
        <v>43</v>
      </c>
      <c r="E63" s="128" t="s">
        <v>44</v>
      </c>
      <c r="F63" s="128" t="s">
        <v>1348</v>
      </c>
      <c r="G63" s="128" t="s">
        <v>56</v>
      </c>
      <c r="H63" s="128" t="s">
        <v>45</v>
      </c>
      <c r="I63" s="128" t="s">
        <v>46</v>
      </c>
      <c r="J63" s="180">
        <v>949907055.89243031</v>
      </c>
      <c r="K63" s="180"/>
      <c r="L63" s="128"/>
      <c r="M63" s="128">
        <v>-0.29349999999999998</v>
      </c>
      <c r="N63" s="128" t="s">
        <v>136</v>
      </c>
      <c r="O63" s="250" t="s">
        <v>204</v>
      </c>
      <c r="P63" s="250"/>
      <c r="Q63" s="250"/>
      <c r="R63" s="129" t="s">
        <v>194</v>
      </c>
      <c r="S63" s="129"/>
      <c r="T63" s="129"/>
      <c r="U63" s="181">
        <v>5719194</v>
      </c>
      <c r="V63" s="181">
        <v>2835150</v>
      </c>
      <c r="W63" s="181"/>
      <c r="X63" s="181">
        <v>943993</v>
      </c>
      <c r="Y63" s="181">
        <v>473775</v>
      </c>
      <c r="Z63" s="181">
        <v>1197363</v>
      </c>
      <c r="AA63" s="181">
        <v>236619</v>
      </c>
      <c r="AB63" s="181"/>
      <c r="AC63" s="181"/>
      <c r="AD63" s="181"/>
      <c r="AE63" s="181"/>
      <c r="AF63" s="181">
        <v>9798</v>
      </c>
      <c r="AG63" s="181"/>
      <c r="AH63" s="181">
        <v>22496</v>
      </c>
      <c r="AI63" s="131"/>
      <c r="AJ63" s="132">
        <v>5.3E-3</v>
      </c>
      <c r="AK63" s="181"/>
    </row>
    <row r="64" spans="1:37">
      <c r="A64" s="248" t="s">
        <v>205</v>
      </c>
      <c r="B64" s="249" t="s">
        <v>206</v>
      </c>
      <c r="C64" s="249" t="s">
        <v>135</v>
      </c>
      <c r="D64" s="128" t="s">
        <v>43</v>
      </c>
      <c r="E64" s="128" t="s">
        <v>44</v>
      </c>
      <c r="F64" s="128" t="s">
        <v>1348</v>
      </c>
      <c r="G64" s="128" t="s">
        <v>56</v>
      </c>
      <c r="H64" s="128" t="s">
        <v>45</v>
      </c>
      <c r="I64" s="128" t="s">
        <v>46</v>
      </c>
      <c r="J64" s="180">
        <v>218594365.0625</v>
      </c>
      <c r="K64" s="180"/>
      <c r="L64" s="128"/>
      <c r="M64" s="128"/>
      <c r="N64" s="128" t="s">
        <v>136</v>
      </c>
      <c r="O64" s="250" t="s">
        <v>207</v>
      </c>
      <c r="P64" s="250"/>
      <c r="Q64" s="250"/>
      <c r="R64" s="129">
        <v>0</v>
      </c>
      <c r="S64" s="129"/>
      <c r="T64" s="129"/>
      <c r="U64" s="181">
        <v>100965</v>
      </c>
      <c r="V64" s="181"/>
      <c r="W64" s="181"/>
      <c r="X64" s="181"/>
      <c r="Y64" s="181"/>
      <c r="Z64" s="181">
        <v>86584</v>
      </c>
      <c r="AA64" s="181">
        <v>14381</v>
      </c>
      <c r="AB64" s="181"/>
      <c r="AC64" s="181"/>
      <c r="AD64" s="181"/>
      <c r="AE64" s="181"/>
      <c r="AF64" s="181"/>
      <c r="AG64" s="181"/>
      <c r="AH64" s="181"/>
      <c r="AI64" s="131"/>
      <c r="AJ64" s="132"/>
      <c r="AK64" s="181"/>
    </row>
    <row r="65" spans="1:37">
      <c r="A65" s="248" t="s">
        <v>208</v>
      </c>
      <c r="B65" s="249" t="s">
        <v>209</v>
      </c>
      <c r="C65" s="249" t="s">
        <v>135</v>
      </c>
      <c r="D65" s="128" t="s">
        <v>43</v>
      </c>
      <c r="E65" s="128" t="s">
        <v>44</v>
      </c>
      <c r="F65" s="128" t="s">
        <v>1348</v>
      </c>
      <c r="G65" s="128" t="s">
        <v>48</v>
      </c>
      <c r="H65" s="128" t="s">
        <v>45</v>
      </c>
      <c r="I65" s="128" t="s">
        <v>46</v>
      </c>
      <c r="J65" s="180">
        <v>10006681638.780876</v>
      </c>
      <c r="K65" s="180"/>
      <c r="L65" s="128"/>
      <c r="M65" s="128">
        <v>6.3299999999999995E-2</v>
      </c>
      <c r="N65" s="128" t="s">
        <v>136</v>
      </c>
      <c r="O65" s="250" t="s">
        <v>154</v>
      </c>
      <c r="P65" s="250"/>
      <c r="Q65" s="250"/>
      <c r="R65" s="129" t="s">
        <v>161</v>
      </c>
      <c r="S65" s="129"/>
      <c r="T65" s="129"/>
      <c r="U65" s="180">
        <v>160678490</v>
      </c>
      <c r="V65" s="180">
        <v>72890221</v>
      </c>
      <c r="W65" s="180"/>
      <c r="X65" s="180">
        <v>77463040</v>
      </c>
      <c r="Y65" s="180">
        <v>4009369</v>
      </c>
      <c r="Z65" s="180">
        <v>3740809</v>
      </c>
      <c r="AA65" s="180">
        <v>2500000</v>
      </c>
      <c r="AB65" s="180"/>
      <c r="AC65" s="180"/>
      <c r="AD65" s="180"/>
      <c r="AE65" s="180"/>
      <c r="AF65" s="180">
        <v>75051</v>
      </c>
      <c r="AG65" s="180"/>
      <c r="AH65" s="180"/>
      <c r="AI65" s="130"/>
      <c r="AJ65" s="129">
        <v>1.61E-2</v>
      </c>
      <c r="AK65" s="180"/>
    </row>
    <row r="66" spans="1:37">
      <c r="A66" s="248" t="s">
        <v>210</v>
      </c>
      <c r="B66" s="249" t="s">
        <v>209</v>
      </c>
      <c r="C66" s="249" t="s">
        <v>135</v>
      </c>
      <c r="D66" s="128"/>
      <c r="E66" s="128"/>
      <c r="F66" s="128"/>
      <c r="G66" s="128"/>
      <c r="H66" s="128"/>
      <c r="I66" s="128" t="s">
        <v>46</v>
      </c>
      <c r="J66" s="180">
        <v>10082784877.777779</v>
      </c>
      <c r="K66" s="180"/>
      <c r="L66" s="128"/>
      <c r="M66" s="128"/>
      <c r="N66" s="128" t="s">
        <v>136</v>
      </c>
      <c r="O66" s="250"/>
      <c r="P66" s="250"/>
      <c r="Q66" s="250"/>
      <c r="R66" s="129"/>
      <c r="S66" s="129"/>
      <c r="T66" s="129"/>
      <c r="U66" s="180"/>
      <c r="V66" s="180"/>
      <c r="W66" s="180"/>
      <c r="X66" s="180"/>
      <c r="Y66" s="180"/>
      <c r="Z66" s="180"/>
      <c r="AA66" s="180"/>
      <c r="AB66" s="180"/>
      <c r="AC66" s="180"/>
      <c r="AD66" s="180"/>
      <c r="AE66" s="180"/>
      <c r="AF66" s="180"/>
      <c r="AG66" s="180"/>
      <c r="AH66" s="180"/>
      <c r="AI66" s="130"/>
      <c r="AJ66" s="129"/>
      <c r="AK66" s="180"/>
    </row>
    <row r="67" spans="1:37">
      <c r="A67" s="248" t="s">
        <v>211</v>
      </c>
      <c r="B67" s="249" t="s">
        <v>212</v>
      </c>
      <c r="C67" s="249" t="s">
        <v>135</v>
      </c>
      <c r="D67" s="128"/>
      <c r="E67" s="128"/>
      <c r="F67" s="128"/>
      <c r="G67" s="128"/>
      <c r="H67" s="128"/>
      <c r="I67" s="128" t="s">
        <v>46</v>
      </c>
      <c r="J67" s="180">
        <v>0</v>
      </c>
      <c r="K67" s="180"/>
      <c r="L67" s="128"/>
      <c r="M67" s="128"/>
      <c r="N67" s="128" t="s">
        <v>136</v>
      </c>
      <c r="O67" s="250"/>
      <c r="P67" s="250"/>
      <c r="Q67" s="250"/>
      <c r="R67" s="129"/>
      <c r="S67" s="129"/>
      <c r="T67" s="129"/>
      <c r="U67" s="180"/>
      <c r="V67" s="180"/>
      <c r="W67" s="180"/>
      <c r="X67" s="180"/>
      <c r="Y67" s="180"/>
      <c r="Z67" s="180"/>
      <c r="AA67" s="180"/>
      <c r="AB67" s="180"/>
      <c r="AC67" s="180"/>
      <c r="AD67" s="180"/>
      <c r="AE67" s="180"/>
      <c r="AF67" s="180"/>
      <c r="AG67" s="180"/>
      <c r="AH67" s="180"/>
      <c r="AI67" s="130"/>
      <c r="AJ67" s="129"/>
      <c r="AK67" s="180"/>
    </row>
    <row r="68" spans="1:37">
      <c r="A68" s="248" t="s">
        <v>213</v>
      </c>
      <c r="B68" s="249" t="s">
        <v>214</v>
      </c>
      <c r="C68" s="249" t="s">
        <v>135</v>
      </c>
      <c r="D68" s="128" t="s">
        <v>43</v>
      </c>
      <c r="E68" s="128" t="s">
        <v>44</v>
      </c>
      <c r="F68" s="128" t="s">
        <v>1348</v>
      </c>
      <c r="G68" s="128" t="s">
        <v>622</v>
      </c>
      <c r="H68" s="128" t="s">
        <v>45</v>
      </c>
      <c r="I68" s="128" t="s">
        <v>46</v>
      </c>
      <c r="J68" s="180">
        <v>3003953570.782258</v>
      </c>
      <c r="K68" s="180"/>
      <c r="L68" s="128"/>
      <c r="M68" s="128"/>
      <c r="N68" s="128" t="s">
        <v>136</v>
      </c>
      <c r="O68" s="250" t="s">
        <v>182</v>
      </c>
      <c r="P68" s="250"/>
      <c r="Q68" s="250"/>
      <c r="R68" s="129" t="s">
        <v>194</v>
      </c>
      <c r="S68" s="129"/>
      <c r="T68" s="129"/>
      <c r="U68" s="180"/>
      <c r="V68" s="180"/>
      <c r="W68" s="180"/>
      <c r="X68" s="180"/>
      <c r="Y68" s="180"/>
      <c r="Z68" s="180"/>
      <c r="AA68" s="180"/>
      <c r="AB68" s="180"/>
      <c r="AC68" s="180"/>
      <c r="AD68" s="180"/>
      <c r="AE68" s="180"/>
      <c r="AF68" s="180"/>
      <c r="AG68" s="180"/>
      <c r="AH68" s="180"/>
      <c r="AI68" s="130"/>
      <c r="AJ68" s="129">
        <v>0.03</v>
      </c>
      <c r="AK68" s="180"/>
    </row>
    <row r="69" spans="1:37">
      <c r="A69" s="248" t="s">
        <v>215</v>
      </c>
      <c r="B69" s="249" t="s">
        <v>216</v>
      </c>
      <c r="C69" s="249" t="s">
        <v>135</v>
      </c>
      <c r="D69" s="128" t="s">
        <v>43</v>
      </c>
      <c r="E69" s="128" t="s">
        <v>44</v>
      </c>
      <c r="F69" s="128" t="s">
        <v>1348</v>
      </c>
      <c r="G69" s="128" t="s">
        <v>622</v>
      </c>
      <c r="H69" s="128" t="s">
        <v>45</v>
      </c>
      <c r="I69" s="128" t="s">
        <v>46</v>
      </c>
      <c r="J69" s="180">
        <v>1836199316.775862</v>
      </c>
      <c r="K69" s="180"/>
      <c r="L69" s="128"/>
      <c r="M69" s="128"/>
      <c r="N69" s="128" t="s">
        <v>136</v>
      </c>
      <c r="O69" s="250" t="s">
        <v>182</v>
      </c>
      <c r="P69" s="250"/>
      <c r="Q69" s="250"/>
      <c r="R69" s="129" t="s">
        <v>194</v>
      </c>
      <c r="S69" s="129"/>
      <c r="T69" s="129"/>
      <c r="U69" s="180"/>
      <c r="V69" s="180"/>
      <c r="W69" s="180"/>
      <c r="X69" s="180"/>
      <c r="Y69" s="180"/>
      <c r="Z69" s="180"/>
      <c r="AA69" s="180"/>
      <c r="AB69" s="180"/>
      <c r="AC69" s="180"/>
      <c r="AD69" s="180"/>
      <c r="AE69" s="180"/>
      <c r="AF69" s="180"/>
      <c r="AG69" s="180"/>
      <c r="AH69" s="180"/>
      <c r="AI69" s="130"/>
      <c r="AJ69" s="129">
        <v>3.0499999999999999E-2</v>
      </c>
      <c r="AK69" s="180"/>
    </row>
    <row r="70" spans="1:37">
      <c r="A70" s="248" t="s">
        <v>217</v>
      </c>
      <c r="B70" s="249" t="s">
        <v>218</v>
      </c>
      <c r="C70" s="249" t="s">
        <v>135</v>
      </c>
      <c r="D70" s="128" t="s">
        <v>43</v>
      </c>
      <c r="E70" s="128" t="s">
        <v>44</v>
      </c>
      <c r="F70" s="128" t="s">
        <v>1348</v>
      </c>
      <c r="G70" s="128" t="s">
        <v>622</v>
      </c>
      <c r="H70" s="128" t="s">
        <v>45</v>
      </c>
      <c r="I70" s="128" t="s">
        <v>46</v>
      </c>
      <c r="J70" s="180">
        <v>1789033980.775862</v>
      </c>
      <c r="K70" s="180"/>
      <c r="L70" s="128"/>
      <c r="M70" s="128"/>
      <c r="N70" s="128" t="s">
        <v>136</v>
      </c>
      <c r="O70" s="250" t="s">
        <v>219</v>
      </c>
      <c r="P70" s="250"/>
      <c r="Q70" s="250"/>
      <c r="R70" s="129" t="s">
        <v>194</v>
      </c>
      <c r="S70" s="129"/>
      <c r="T70" s="129"/>
      <c r="U70" s="180"/>
      <c r="V70" s="180"/>
      <c r="W70" s="180"/>
      <c r="X70" s="180"/>
      <c r="Y70" s="180"/>
      <c r="Z70" s="180"/>
      <c r="AA70" s="180"/>
      <c r="AB70" s="180"/>
      <c r="AC70" s="180"/>
      <c r="AD70" s="180"/>
      <c r="AE70" s="180"/>
      <c r="AF70" s="180"/>
      <c r="AG70" s="180"/>
      <c r="AH70" s="180"/>
      <c r="AI70" s="130"/>
      <c r="AJ70" s="129">
        <v>3.0499999999999999E-2</v>
      </c>
      <c r="AK70" s="180"/>
    </row>
    <row r="71" spans="1:37">
      <c r="A71" s="248" t="s">
        <v>220</v>
      </c>
      <c r="B71" s="249" t="s">
        <v>221</v>
      </c>
      <c r="C71" s="249" t="s">
        <v>135</v>
      </c>
      <c r="D71" s="128" t="s">
        <v>43</v>
      </c>
      <c r="E71" s="128" t="s">
        <v>44</v>
      </c>
      <c r="F71" s="128" t="s">
        <v>1348</v>
      </c>
      <c r="G71" s="128" t="s">
        <v>1350</v>
      </c>
      <c r="H71" s="128" t="s">
        <v>62</v>
      </c>
      <c r="I71" s="128" t="s">
        <v>46</v>
      </c>
      <c r="J71" s="180">
        <v>721339773.64940238</v>
      </c>
      <c r="K71" s="180"/>
      <c r="L71" s="128"/>
      <c r="M71" s="128">
        <v>8.6999999999999994E-3</v>
      </c>
      <c r="N71" s="128" t="s">
        <v>136</v>
      </c>
      <c r="O71" s="250" t="s">
        <v>182</v>
      </c>
      <c r="P71" s="250"/>
      <c r="Q71" s="250"/>
      <c r="R71" s="129" t="s">
        <v>138</v>
      </c>
      <c r="S71" s="129"/>
      <c r="T71" s="129"/>
      <c r="U71" s="180">
        <v>6331927</v>
      </c>
      <c r="V71" s="180">
        <v>1804190</v>
      </c>
      <c r="W71" s="180"/>
      <c r="X71" s="180">
        <v>1263466</v>
      </c>
      <c r="Y71" s="180">
        <v>600000</v>
      </c>
      <c r="Z71" s="180">
        <v>1934577</v>
      </c>
      <c r="AA71" s="180">
        <v>180000</v>
      </c>
      <c r="AB71" s="180"/>
      <c r="AC71" s="180"/>
      <c r="AD71" s="180">
        <v>537866</v>
      </c>
      <c r="AE71" s="180"/>
      <c r="AF71" s="180">
        <v>11828</v>
      </c>
      <c r="AG71" s="180"/>
      <c r="AH71" s="180"/>
      <c r="AI71" s="130"/>
      <c r="AJ71" s="129">
        <v>7.3000000000000001E-3</v>
      </c>
      <c r="AK71" s="180"/>
    </row>
    <row r="72" spans="1:37">
      <c r="A72" s="248" t="s">
        <v>222</v>
      </c>
      <c r="B72" s="249" t="s">
        <v>223</v>
      </c>
      <c r="C72" s="249" t="s">
        <v>135</v>
      </c>
      <c r="D72" s="128" t="s">
        <v>43</v>
      </c>
      <c r="E72" s="128" t="s">
        <v>44</v>
      </c>
      <c r="F72" s="128" t="s">
        <v>1348</v>
      </c>
      <c r="G72" s="128" t="s">
        <v>759</v>
      </c>
      <c r="H72" s="128" t="s">
        <v>62</v>
      </c>
      <c r="I72" s="128" t="s">
        <v>46</v>
      </c>
      <c r="J72" s="180">
        <v>14106324914.139442</v>
      </c>
      <c r="K72" s="180"/>
      <c r="L72" s="128"/>
      <c r="M72" s="128">
        <v>3.9E-2</v>
      </c>
      <c r="N72" s="128" t="s">
        <v>136</v>
      </c>
      <c r="O72" s="250" t="s">
        <v>182</v>
      </c>
      <c r="P72" s="250"/>
      <c r="Q72" s="250"/>
      <c r="R72" s="129" t="s">
        <v>138</v>
      </c>
      <c r="S72" s="129"/>
      <c r="T72" s="129"/>
      <c r="U72" s="180">
        <v>295120334.10000002</v>
      </c>
      <c r="V72" s="180">
        <v>141663020</v>
      </c>
      <c r="W72" s="180"/>
      <c r="X72" s="180">
        <v>141016004</v>
      </c>
      <c r="Y72" s="180">
        <v>6170107</v>
      </c>
      <c r="Z72" s="180">
        <v>2514650</v>
      </c>
      <c r="AA72" s="180">
        <v>3520000</v>
      </c>
      <c r="AB72" s="180"/>
      <c r="AC72" s="180"/>
      <c r="AD72" s="180"/>
      <c r="AE72" s="180"/>
      <c r="AF72" s="180">
        <v>120153.1</v>
      </c>
      <c r="AG72" s="180"/>
      <c r="AH72" s="180">
        <v>116400</v>
      </c>
      <c r="AI72" s="130"/>
      <c r="AJ72" s="129">
        <v>2.1100000000000001E-2</v>
      </c>
      <c r="AK72" s="180"/>
    </row>
    <row r="73" spans="1:37">
      <c r="A73" s="248" t="s">
        <v>224</v>
      </c>
      <c r="B73" s="249" t="s">
        <v>225</v>
      </c>
      <c r="C73" s="249" t="s">
        <v>135</v>
      </c>
      <c r="D73" s="128" t="s">
        <v>43</v>
      </c>
      <c r="E73" s="128" t="s">
        <v>44</v>
      </c>
      <c r="F73" s="128" t="s">
        <v>1348</v>
      </c>
      <c r="G73" s="128" t="s">
        <v>830</v>
      </c>
      <c r="H73" s="128" t="s">
        <v>62</v>
      </c>
      <c r="I73" s="128" t="s">
        <v>226</v>
      </c>
      <c r="J73" s="180">
        <v>63801192.301593609</v>
      </c>
      <c r="K73" s="180"/>
      <c r="L73" s="128"/>
      <c r="M73" s="128">
        <v>2.1100000000000001E-2</v>
      </c>
      <c r="N73" s="128" t="s">
        <v>136</v>
      </c>
      <c r="O73" s="250" t="s">
        <v>182</v>
      </c>
      <c r="P73" s="250"/>
      <c r="Q73" s="250"/>
      <c r="R73" s="129" t="s">
        <v>161</v>
      </c>
      <c r="S73" s="129"/>
      <c r="T73" s="129"/>
      <c r="U73" s="180">
        <v>1023721.0348504041</v>
      </c>
      <c r="V73" s="180">
        <v>317377.5</v>
      </c>
      <c r="W73" s="180"/>
      <c r="X73" s="180">
        <v>450944.2</v>
      </c>
      <c r="Y73" s="180">
        <v>42648.389999999992</v>
      </c>
      <c r="Z73" s="180">
        <v>61861.751152073732</v>
      </c>
      <c r="AA73" s="180">
        <v>11543.41</v>
      </c>
      <c r="AB73" s="180"/>
      <c r="AC73" s="180"/>
      <c r="AD73" s="180"/>
      <c r="AE73" s="180"/>
      <c r="AF73" s="180">
        <v>133651.81219833074</v>
      </c>
      <c r="AG73" s="180"/>
      <c r="AH73" s="180"/>
      <c r="AI73" s="130"/>
      <c r="AJ73" s="129">
        <v>1.44E-2</v>
      </c>
      <c r="AK73" s="180"/>
    </row>
    <row r="74" spans="1:37">
      <c r="A74" s="248" t="s">
        <v>227</v>
      </c>
      <c r="B74" s="249" t="s">
        <v>228</v>
      </c>
      <c r="C74" s="249" t="s">
        <v>135</v>
      </c>
      <c r="D74" s="128" t="s">
        <v>43</v>
      </c>
      <c r="E74" s="128" t="s">
        <v>44</v>
      </c>
      <c r="F74" s="128" t="s">
        <v>1348</v>
      </c>
      <c r="G74" s="128" t="s">
        <v>97</v>
      </c>
      <c r="H74" s="128" t="s">
        <v>45</v>
      </c>
      <c r="I74" s="128" t="s">
        <v>46</v>
      </c>
      <c r="J74" s="180">
        <v>3686710844.5813951</v>
      </c>
      <c r="K74" s="180"/>
      <c r="L74" s="128"/>
      <c r="M74" s="128"/>
      <c r="N74" s="128" t="s">
        <v>136</v>
      </c>
      <c r="O74" s="250" t="s">
        <v>182</v>
      </c>
      <c r="P74" s="250"/>
      <c r="Q74" s="250"/>
      <c r="R74" s="129" t="s">
        <v>229</v>
      </c>
      <c r="S74" s="129"/>
      <c r="T74" s="129"/>
      <c r="U74" s="180">
        <v>9015648</v>
      </c>
      <c r="V74" s="180">
        <v>3523245</v>
      </c>
      <c r="W74" s="180"/>
      <c r="X74" s="180">
        <v>3400708</v>
      </c>
      <c r="Y74" s="180">
        <v>318453</v>
      </c>
      <c r="Z74" s="180">
        <v>436512</v>
      </c>
      <c r="AA74" s="180">
        <v>169000</v>
      </c>
      <c r="AB74" s="180"/>
      <c r="AC74" s="180"/>
      <c r="AD74" s="180">
        <v>1135534</v>
      </c>
      <c r="AE74" s="180"/>
      <c r="AF74" s="180">
        <v>32196</v>
      </c>
      <c r="AG74" s="180"/>
      <c r="AH74" s="252"/>
      <c r="AI74" s="130"/>
      <c r="AJ74" s="129">
        <v>2.1999999999999999E-2</v>
      </c>
      <c r="AK74" s="180"/>
    </row>
    <row r="75" spans="1:37">
      <c r="A75" s="248" t="s">
        <v>230</v>
      </c>
      <c r="B75" s="249" t="s">
        <v>231</v>
      </c>
      <c r="C75" s="249" t="s">
        <v>135</v>
      </c>
      <c r="D75" s="128" t="s">
        <v>43</v>
      </c>
      <c r="E75" s="128" t="s">
        <v>44</v>
      </c>
      <c r="F75" s="128" t="s">
        <v>1348</v>
      </c>
      <c r="G75" s="128" t="s">
        <v>1350</v>
      </c>
      <c r="H75" s="128" t="s">
        <v>62</v>
      </c>
      <c r="I75" s="128" t="s">
        <v>226</v>
      </c>
      <c r="J75" s="180">
        <v>402676904.79497987</v>
      </c>
      <c r="K75" s="180"/>
      <c r="L75" s="128"/>
      <c r="M75" s="128">
        <v>9.5799999999999996E-2</v>
      </c>
      <c r="N75" s="128" t="s">
        <v>136</v>
      </c>
      <c r="O75" s="250" t="s">
        <v>219</v>
      </c>
      <c r="P75" s="250"/>
      <c r="Q75" s="250"/>
      <c r="R75" s="129" t="s">
        <v>138</v>
      </c>
      <c r="S75" s="129"/>
      <c r="T75" s="129"/>
      <c r="U75" s="180">
        <v>5183652.2619843036</v>
      </c>
      <c r="V75" s="180">
        <v>1943985.0599999998</v>
      </c>
      <c r="W75" s="180"/>
      <c r="X75" s="180">
        <v>2897358.31</v>
      </c>
      <c r="Y75" s="180">
        <v>197127.36000000002</v>
      </c>
      <c r="Z75" s="180">
        <v>61861.751152073732</v>
      </c>
      <c r="AA75" s="180">
        <v>63514.41</v>
      </c>
      <c r="AB75" s="180"/>
      <c r="AC75" s="180"/>
      <c r="AD75" s="180"/>
      <c r="AE75" s="180"/>
      <c r="AF75" s="180">
        <v>19805.370832230579</v>
      </c>
      <c r="AG75" s="180"/>
      <c r="AH75" s="180"/>
      <c r="AI75" s="130"/>
      <c r="AJ75" s="129">
        <v>1.12E-2</v>
      </c>
      <c r="AK75" s="180"/>
    </row>
    <row r="76" spans="1:37">
      <c r="A76" s="248" t="s">
        <v>232</v>
      </c>
      <c r="B76" s="249" t="s">
        <v>233</v>
      </c>
      <c r="C76" s="249" t="s">
        <v>135</v>
      </c>
      <c r="D76" s="128" t="s">
        <v>43</v>
      </c>
      <c r="E76" s="128" t="s">
        <v>44</v>
      </c>
      <c r="F76" s="128" t="s">
        <v>1348</v>
      </c>
      <c r="G76" s="128" t="s">
        <v>97</v>
      </c>
      <c r="H76" s="128" t="s">
        <v>62</v>
      </c>
      <c r="I76" s="128" t="s">
        <v>46</v>
      </c>
      <c r="J76" s="180">
        <v>1265259495.5976095</v>
      </c>
      <c r="K76" s="180"/>
      <c r="L76" s="128"/>
      <c r="M76" s="128">
        <v>-1.12E-2</v>
      </c>
      <c r="N76" s="128" t="s">
        <v>136</v>
      </c>
      <c r="O76" s="250" t="s">
        <v>182</v>
      </c>
      <c r="P76" s="250"/>
      <c r="Q76" s="250"/>
      <c r="R76" s="129" t="s">
        <v>229</v>
      </c>
      <c r="S76" s="129"/>
      <c r="T76" s="129"/>
      <c r="U76" s="180">
        <v>28102150.18</v>
      </c>
      <c r="V76" s="180">
        <v>12399019</v>
      </c>
      <c r="W76" s="180"/>
      <c r="X76" s="180">
        <v>12834199</v>
      </c>
      <c r="Y76" s="180">
        <v>746338</v>
      </c>
      <c r="Z76" s="180">
        <v>1286462</v>
      </c>
      <c r="AA76" s="180">
        <v>317000</v>
      </c>
      <c r="AB76" s="180"/>
      <c r="AC76" s="180"/>
      <c r="AD76" s="180"/>
      <c r="AE76" s="180"/>
      <c r="AF76" s="180">
        <v>507020.18</v>
      </c>
      <c r="AG76" s="180"/>
      <c r="AH76" s="180">
        <v>12112</v>
      </c>
      <c r="AI76" s="130"/>
      <c r="AJ76" s="129">
        <v>0.02</v>
      </c>
      <c r="AK76" s="180"/>
    </row>
    <row r="77" spans="1:37">
      <c r="A77" s="248" t="s">
        <v>234</v>
      </c>
      <c r="B77" s="249" t="s">
        <v>233</v>
      </c>
      <c r="C77" s="249" t="s">
        <v>135</v>
      </c>
      <c r="D77" s="128"/>
      <c r="E77" s="128"/>
      <c r="F77" s="128"/>
      <c r="G77" s="128"/>
      <c r="H77" s="128"/>
      <c r="I77" s="128" t="s">
        <v>46</v>
      </c>
      <c r="J77" s="180"/>
      <c r="K77" s="180"/>
      <c r="L77" s="128"/>
      <c r="M77" s="128"/>
      <c r="N77" s="128" t="s">
        <v>136</v>
      </c>
      <c r="O77" s="250"/>
      <c r="P77" s="250"/>
      <c r="Q77" s="250"/>
      <c r="R77" s="129"/>
      <c r="S77" s="129"/>
      <c r="T77" s="129"/>
      <c r="U77" s="180"/>
      <c r="V77" s="180"/>
      <c r="W77" s="180"/>
      <c r="X77" s="180"/>
      <c r="Y77" s="180"/>
      <c r="Z77" s="180"/>
      <c r="AA77" s="180"/>
      <c r="AB77" s="180"/>
      <c r="AC77" s="180"/>
      <c r="AD77" s="180"/>
      <c r="AE77" s="180"/>
      <c r="AF77" s="180"/>
      <c r="AG77" s="180"/>
      <c r="AH77" s="180"/>
      <c r="AI77" s="130"/>
      <c r="AJ77" s="129"/>
      <c r="AK77" s="180"/>
    </row>
    <row r="78" spans="1:37">
      <c r="A78" s="248" t="s">
        <v>235</v>
      </c>
      <c r="B78" s="249" t="s">
        <v>236</v>
      </c>
      <c r="C78" s="249" t="s">
        <v>135</v>
      </c>
      <c r="D78" s="128"/>
      <c r="E78" s="128"/>
      <c r="F78" s="128"/>
      <c r="G78" s="128"/>
      <c r="H78" s="128"/>
      <c r="I78" s="128" t="s">
        <v>46</v>
      </c>
      <c r="J78" s="180"/>
      <c r="K78" s="180"/>
      <c r="L78" s="128"/>
      <c r="M78" s="128"/>
      <c r="N78" s="128" t="s">
        <v>136</v>
      </c>
      <c r="O78" s="250"/>
      <c r="P78" s="250"/>
      <c r="Q78" s="250"/>
      <c r="R78" s="129"/>
      <c r="S78" s="129"/>
      <c r="T78" s="129"/>
      <c r="U78" s="180"/>
      <c r="V78" s="180"/>
      <c r="W78" s="180"/>
      <c r="X78" s="180"/>
      <c r="Y78" s="180"/>
      <c r="Z78" s="180"/>
      <c r="AA78" s="180"/>
      <c r="AB78" s="180"/>
      <c r="AC78" s="180"/>
      <c r="AD78" s="180"/>
      <c r="AE78" s="180"/>
      <c r="AF78" s="180"/>
      <c r="AG78" s="180"/>
      <c r="AH78" s="180"/>
      <c r="AI78" s="130"/>
      <c r="AJ78" s="129"/>
      <c r="AK78" s="180"/>
    </row>
    <row r="79" spans="1:37">
      <c r="A79" s="248" t="s">
        <v>237</v>
      </c>
      <c r="B79" s="249" t="s">
        <v>238</v>
      </c>
      <c r="C79" s="249" t="s">
        <v>135</v>
      </c>
      <c r="D79" s="128" t="s">
        <v>43</v>
      </c>
      <c r="E79" s="128" t="s">
        <v>44</v>
      </c>
      <c r="F79" s="128" t="s">
        <v>1348</v>
      </c>
      <c r="G79" s="128" t="s">
        <v>81</v>
      </c>
      <c r="H79" s="128" t="s">
        <v>62</v>
      </c>
      <c r="I79" s="128" t="s">
        <v>239</v>
      </c>
      <c r="J79" s="180">
        <v>6636233.7213545842</v>
      </c>
      <c r="K79" s="180"/>
      <c r="L79" s="128"/>
      <c r="M79" s="128">
        <v>4.1599999999999998E-2</v>
      </c>
      <c r="N79" s="128" t="s">
        <v>136</v>
      </c>
      <c r="O79" s="250" t="s">
        <v>240</v>
      </c>
      <c r="P79" s="250"/>
      <c r="Q79" s="250"/>
      <c r="R79" s="129" t="s">
        <v>138</v>
      </c>
      <c r="S79" s="129"/>
      <c r="T79" s="129"/>
      <c r="U79" s="180">
        <v>79172.301882899992</v>
      </c>
      <c r="V79" s="180">
        <v>33335.800000000003</v>
      </c>
      <c r="W79" s="180"/>
      <c r="X79" s="180">
        <v>33228.339999999997</v>
      </c>
      <c r="Y79" s="180">
        <v>3908.9168107406208</v>
      </c>
      <c r="Z79" s="180">
        <v>4615.3179056717527</v>
      </c>
      <c r="AA79" s="180">
        <v>1174.3499999999999</v>
      </c>
      <c r="AB79" s="180"/>
      <c r="AC79" s="180"/>
      <c r="AD79" s="180"/>
      <c r="AE79" s="180"/>
      <c r="AF79" s="180">
        <v>2909.5771664875947</v>
      </c>
      <c r="AG79" s="180"/>
      <c r="AH79" s="180"/>
      <c r="AI79" s="130"/>
      <c r="AJ79" s="129">
        <v>0.02</v>
      </c>
      <c r="AK79" s="180"/>
    </row>
    <row r="80" spans="1:37">
      <c r="A80" s="248" t="s">
        <v>241</v>
      </c>
      <c r="B80" s="249" t="s">
        <v>242</v>
      </c>
      <c r="C80" s="249" t="s">
        <v>135</v>
      </c>
      <c r="D80" s="128"/>
      <c r="E80" s="128"/>
      <c r="F80" s="128"/>
      <c r="G80" s="128"/>
      <c r="H80" s="128"/>
      <c r="I80" s="128" t="s">
        <v>239</v>
      </c>
      <c r="J80" s="180">
        <v>0</v>
      </c>
      <c r="K80" s="180"/>
      <c r="L80" s="128"/>
      <c r="M80" s="128"/>
      <c r="N80" s="128" t="s">
        <v>136</v>
      </c>
      <c r="O80" s="250"/>
      <c r="P80" s="250"/>
      <c r="Q80" s="250"/>
      <c r="R80" s="129"/>
      <c r="S80" s="129"/>
      <c r="T80" s="129"/>
      <c r="U80" s="180"/>
      <c r="V80" s="180"/>
      <c r="W80" s="180"/>
      <c r="X80" s="180"/>
      <c r="Y80" s="180"/>
      <c r="Z80" s="180"/>
      <c r="AA80" s="180"/>
      <c r="AB80" s="180"/>
      <c r="AC80" s="180"/>
      <c r="AD80" s="180"/>
      <c r="AE80" s="180"/>
      <c r="AF80" s="180"/>
      <c r="AG80" s="180"/>
      <c r="AH80" s="180"/>
      <c r="AI80" s="130"/>
      <c r="AJ80" s="129"/>
      <c r="AK80" s="180"/>
    </row>
    <row r="81" spans="1:37">
      <c r="A81" s="248" t="s">
        <v>243</v>
      </c>
      <c r="B81" s="249" t="s">
        <v>238</v>
      </c>
      <c r="C81" s="249" t="s">
        <v>135</v>
      </c>
      <c r="D81" s="128"/>
      <c r="E81" s="128"/>
      <c r="F81" s="128"/>
      <c r="G81" s="128"/>
      <c r="H81" s="128"/>
      <c r="I81" s="128" t="s">
        <v>239</v>
      </c>
      <c r="J81" s="180">
        <v>9149867.0066666678</v>
      </c>
      <c r="K81" s="180"/>
      <c r="L81" s="128"/>
      <c r="M81" s="128"/>
      <c r="N81" s="128" t="s">
        <v>136</v>
      </c>
      <c r="O81" s="250"/>
      <c r="P81" s="250"/>
      <c r="Q81" s="250"/>
      <c r="R81" s="129"/>
      <c r="S81" s="129"/>
      <c r="T81" s="129"/>
      <c r="U81" s="180"/>
      <c r="V81" s="180"/>
      <c r="W81" s="180"/>
      <c r="X81" s="180"/>
      <c r="Y81" s="180"/>
      <c r="Z81" s="180"/>
      <c r="AA81" s="180"/>
      <c r="AB81" s="180"/>
      <c r="AC81" s="180"/>
      <c r="AD81" s="180"/>
      <c r="AE81" s="180"/>
      <c r="AF81" s="180"/>
      <c r="AG81" s="180"/>
      <c r="AH81" s="180"/>
      <c r="AI81" s="130"/>
      <c r="AJ81" s="129"/>
      <c r="AK81" s="180"/>
    </row>
    <row r="82" spans="1:37">
      <c r="A82" s="248" t="s">
        <v>244</v>
      </c>
      <c r="B82" s="249" t="s">
        <v>245</v>
      </c>
      <c r="C82" s="249" t="s">
        <v>135</v>
      </c>
      <c r="D82" s="128" t="s">
        <v>43</v>
      </c>
      <c r="E82" s="128" t="s">
        <v>44</v>
      </c>
      <c r="F82" s="128" t="s">
        <v>1348</v>
      </c>
      <c r="G82" s="128" t="s">
        <v>58</v>
      </c>
      <c r="H82" s="128" t="s">
        <v>62</v>
      </c>
      <c r="I82" s="128" t="s">
        <v>69</v>
      </c>
      <c r="J82" s="180">
        <v>1920203.4417928294</v>
      </c>
      <c r="K82" s="180"/>
      <c r="L82" s="128"/>
      <c r="M82" s="128"/>
      <c r="N82" s="128" t="s">
        <v>136</v>
      </c>
      <c r="O82" s="250" t="s">
        <v>182</v>
      </c>
      <c r="P82" s="250"/>
      <c r="Q82" s="250"/>
      <c r="R82" s="129" t="s">
        <v>194</v>
      </c>
      <c r="S82" s="129"/>
      <c r="T82" s="129"/>
      <c r="U82" s="180">
        <v>48917.283013437765</v>
      </c>
      <c r="V82" s="180">
        <v>23770.32</v>
      </c>
      <c r="W82" s="180"/>
      <c r="X82" s="180">
        <v>17147.010000000002</v>
      </c>
      <c r="Y82" s="180">
        <v>2312.1999999999998</v>
      </c>
      <c r="Z82" s="180">
        <v>4322.177337911533</v>
      </c>
      <c r="AA82" s="180">
        <v>379.61</v>
      </c>
      <c r="AB82" s="180"/>
      <c r="AC82" s="180"/>
      <c r="AD82" s="180"/>
      <c r="AE82" s="180"/>
      <c r="AF82" s="180">
        <v>985.9656755262356</v>
      </c>
      <c r="AG82" s="180"/>
      <c r="AH82" s="180"/>
      <c r="AI82" s="130"/>
      <c r="AJ82" s="129">
        <v>2.2599999999999999E-2</v>
      </c>
      <c r="AK82" s="180"/>
    </row>
    <row r="83" spans="1:37">
      <c r="A83" s="248" t="s">
        <v>246</v>
      </c>
      <c r="B83" s="249" t="s">
        <v>247</v>
      </c>
      <c r="C83" s="249" t="s">
        <v>135</v>
      </c>
      <c r="D83" s="128"/>
      <c r="E83" s="128"/>
      <c r="F83" s="128"/>
      <c r="G83" s="128"/>
      <c r="H83" s="128"/>
      <c r="I83" s="128" t="s">
        <v>226</v>
      </c>
      <c r="J83" s="180">
        <v>1690519.713864543</v>
      </c>
      <c r="K83" s="180"/>
      <c r="L83" s="128"/>
      <c r="M83" s="128">
        <v>-3.4599999999999999E-2</v>
      </c>
      <c r="N83" s="128" t="s">
        <v>136</v>
      </c>
      <c r="O83" s="250"/>
      <c r="P83" s="250"/>
      <c r="Q83" s="250"/>
      <c r="R83" s="129"/>
      <c r="S83" s="129"/>
      <c r="T83" s="129"/>
      <c r="U83" s="180"/>
      <c r="V83" s="180"/>
      <c r="W83" s="180"/>
      <c r="X83" s="180"/>
      <c r="Y83" s="180"/>
      <c r="Z83" s="180"/>
      <c r="AA83" s="180"/>
      <c r="AB83" s="180"/>
      <c r="AC83" s="180"/>
      <c r="AD83" s="180"/>
      <c r="AE83" s="180"/>
      <c r="AF83" s="180"/>
      <c r="AG83" s="180"/>
      <c r="AH83" s="180"/>
      <c r="AI83" s="130"/>
      <c r="AJ83" s="129"/>
      <c r="AK83" s="180"/>
    </row>
    <row r="84" spans="1:37">
      <c r="A84" s="248" t="s">
        <v>248</v>
      </c>
      <c r="B84" s="249" t="s">
        <v>245</v>
      </c>
      <c r="C84" s="249" t="s">
        <v>135</v>
      </c>
      <c r="D84" s="128"/>
      <c r="E84" s="128"/>
      <c r="F84" s="128"/>
      <c r="G84" s="128"/>
      <c r="H84" s="128"/>
      <c r="I84" s="128" t="s">
        <v>69</v>
      </c>
      <c r="J84" s="180">
        <v>1414491.6477689233</v>
      </c>
      <c r="K84" s="180"/>
      <c r="L84" s="128"/>
      <c r="M84" s="128">
        <v>-0.1132</v>
      </c>
      <c r="N84" s="128" t="s">
        <v>136</v>
      </c>
      <c r="O84" s="250"/>
      <c r="P84" s="250"/>
      <c r="Q84" s="250"/>
      <c r="R84" s="129"/>
      <c r="S84" s="129"/>
      <c r="T84" s="129"/>
      <c r="U84" s="180"/>
      <c r="V84" s="180"/>
      <c r="W84" s="180"/>
      <c r="X84" s="180"/>
      <c r="Y84" s="180"/>
      <c r="Z84" s="180"/>
      <c r="AA84" s="180"/>
      <c r="AB84" s="180"/>
      <c r="AC84" s="180"/>
      <c r="AD84" s="180"/>
      <c r="AE84" s="180"/>
      <c r="AF84" s="180"/>
      <c r="AG84" s="180"/>
      <c r="AH84" s="180"/>
      <c r="AI84" s="130"/>
      <c r="AJ84" s="129"/>
      <c r="AK84" s="180"/>
    </row>
    <row r="85" spans="1:37">
      <c r="A85" s="248" t="s">
        <v>249</v>
      </c>
      <c r="B85" s="249" t="s">
        <v>250</v>
      </c>
      <c r="C85" s="249" t="s">
        <v>135</v>
      </c>
      <c r="D85" s="128"/>
      <c r="E85" s="128"/>
      <c r="F85" s="128"/>
      <c r="G85" s="128"/>
      <c r="H85" s="128"/>
      <c r="I85" s="128" t="s">
        <v>46</v>
      </c>
      <c r="J85" s="180">
        <v>130704065.23505977</v>
      </c>
      <c r="K85" s="180"/>
      <c r="L85" s="128"/>
      <c r="M85" s="128">
        <v>-9.3299999999999994E-2</v>
      </c>
      <c r="N85" s="128" t="s">
        <v>136</v>
      </c>
      <c r="O85" s="250"/>
      <c r="P85" s="250"/>
      <c r="Q85" s="250"/>
      <c r="R85" s="129"/>
      <c r="S85" s="129"/>
      <c r="T85" s="129"/>
      <c r="U85" s="180"/>
      <c r="V85" s="180"/>
      <c r="W85" s="180"/>
      <c r="X85" s="180"/>
      <c r="Y85" s="180"/>
      <c r="Z85" s="180"/>
      <c r="AA85" s="180"/>
      <c r="AB85" s="180"/>
      <c r="AC85" s="180"/>
      <c r="AD85" s="180"/>
      <c r="AE85" s="180"/>
      <c r="AF85" s="180"/>
      <c r="AG85" s="180"/>
      <c r="AH85" s="180"/>
      <c r="AI85" s="130"/>
      <c r="AJ85" s="129"/>
      <c r="AK85" s="180"/>
    </row>
    <row r="86" spans="1:37">
      <c r="A86" s="248" t="s">
        <v>251</v>
      </c>
      <c r="B86" s="249" t="s">
        <v>252</v>
      </c>
      <c r="C86" s="249" t="s">
        <v>135</v>
      </c>
      <c r="D86" s="128"/>
      <c r="E86" s="128"/>
      <c r="F86" s="128"/>
      <c r="G86" s="128"/>
      <c r="H86" s="128"/>
      <c r="I86" s="128" t="s">
        <v>46</v>
      </c>
      <c r="J86" s="180">
        <v>0</v>
      </c>
      <c r="K86" s="180"/>
      <c r="L86" s="128"/>
      <c r="M86" s="128"/>
      <c r="N86" s="128" t="s">
        <v>136</v>
      </c>
      <c r="O86" s="250"/>
      <c r="P86" s="250"/>
      <c r="Q86" s="250"/>
      <c r="R86" s="129"/>
      <c r="S86" s="129"/>
      <c r="T86" s="129"/>
      <c r="U86" s="180"/>
      <c r="V86" s="180"/>
      <c r="W86" s="180"/>
      <c r="X86" s="180"/>
      <c r="Y86" s="180"/>
      <c r="Z86" s="180"/>
      <c r="AA86" s="180"/>
      <c r="AB86" s="180"/>
      <c r="AC86" s="180"/>
      <c r="AD86" s="180"/>
      <c r="AE86" s="180"/>
      <c r="AF86" s="180"/>
      <c r="AG86" s="180"/>
      <c r="AH86" s="180"/>
      <c r="AI86" s="130"/>
      <c r="AJ86" s="129"/>
      <c r="AK86" s="180"/>
    </row>
    <row r="87" spans="1:37">
      <c r="A87" s="248" t="s">
        <v>253</v>
      </c>
      <c r="B87" s="249" t="s">
        <v>254</v>
      </c>
      <c r="C87" s="249" t="s">
        <v>135</v>
      </c>
      <c r="D87" s="128" t="s">
        <v>43</v>
      </c>
      <c r="E87" s="128" t="s">
        <v>44</v>
      </c>
      <c r="F87" s="128" t="s">
        <v>1348</v>
      </c>
      <c r="G87" s="128" t="s">
        <v>81</v>
      </c>
      <c r="H87" s="128" t="s">
        <v>62</v>
      </c>
      <c r="I87" s="128" t="s">
        <v>46</v>
      </c>
      <c r="J87" s="180">
        <v>11936424037.521912</v>
      </c>
      <c r="K87" s="180"/>
      <c r="L87" s="128"/>
      <c r="M87" s="128"/>
      <c r="N87" s="128" t="s">
        <v>136</v>
      </c>
      <c r="O87" s="250" t="s">
        <v>240</v>
      </c>
      <c r="P87" s="250"/>
      <c r="Q87" s="250"/>
      <c r="R87" s="129" t="s">
        <v>255</v>
      </c>
      <c r="S87" s="129"/>
      <c r="T87" s="129"/>
      <c r="U87" s="180">
        <v>161345906</v>
      </c>
      <c r="V87" s="180">
        <v>71817665</v>
      </c>
      <c r="W87" s="180"/>
      <c r="X87" s="180">
        <v>71610055</v>
      </c>
      <c r="Y87" s="180">
        <v>11223300</v>
      </c>
      <c r="Z87" s="180">
        <v>3094722</v>
      </c>
      <c r="AA87" s="180">
        <v>2984000</v>
      </c>
      <c r="AB87" s="180"/>
      <c r="AC87" s="180"/>
      <c r="AD87" s="180"/>
      <c r="AE87" s="180"/>
      <c r="AF87" s="180">
        <v>616164</v>
      </c>
      <c r="AG87" s="180"/>
      <c r="AH87" s="180"/>
      <c r="AI87" s="130" t="s">
        <v>256</v>
      </c>
      <c r="AJ87" s="129"/>
      <c r="AK87" s="180"/>
    </row>
    <row r="88" spans="1:37">
      <c r="A88" s="248" t="s">
        <v>257</v>
      </c>
      <c r="B88" s="249" t="s">
        <v>258</v>
      </c>
      <c r="C88" s="249" t="s">
        <v>135</v>
      </c>
      <c r="D88" s="128"/>
      <c r="E88" s="128"/>
      <c r="F88" s="128"/>
      <c r="G88" s="128"/>
      <c r="H88" s="128"/>
      <c r="I88" s="128" t="s">
        <v>69</v>
      </c>
      <c r="J88" s="180">
        <v>37098260.334541775</v>
      </c>
      <c r="K88" s="180"/>
      <c r="L88" s="128"/>
      <c r="M88" s="128">
        <v>3.6400000000000002E-2</v>
      </c>
      <c r="N88" s="128" t="s">
        <v>136</v>
      </c>
      <c r="O88" s="250"/>
      <c r="P88" s="250"/>
      <c r="Q88" s="250"/>
      <c r="R88" s="129"/>
      <c r="S88" s="129"/>
      <c r="T88" s="129"/>
      <c r="U88" s="180"/>
      <c r="V88" s="180"/>
      <c r="W88" s="180"/>
      <c r="X88" s="180"/>
      <c r="Y88" s="180"/>
      <c r="Z88" s="180"/>
      <c r="AA88" s="180"/>
      <c r="AB88" s="180"/>
      <c r="AC88" s="180"/>
      <c r="AD88" s="180"/>
      <c r="AE88" s="180"/>
      <c r="AF88" s="180"/>
      <c r="AG88" s="180"/>
      <c r="AH88" s="180"/>
      <c r="AI88" s="130"/>
      <c r="AJ88" s="129">
        <v>1.3899999999999999E-2</v>
      </c>
      <c r="AK88" s="180"/>
    </row>
    <row r="89" spans="1:37">
      <c r="A89" s="248" t="s">
        <v>259</v>
      </c>
      <c r="B89" s="249" t="s">
        <v>254</v>
      </c>
      <c r="C89" s="249" t="s">
        <v>135</v>
      </c>
      <c r="D89" s="128"/>
      <c r="E89" s="128"/>
      <c r="F89" s="128"/>
      <c r="G89" s="128"/>
      <c r="H89" s="128"/>
      <c r="I89" s="128" t="s">
        <v>46</v>
      </c>
      <c r="J89" s="180">
        <v>919486110.14741039</v>
      </c>
      <c r="K89" s="180"/>
      <c r="L89" s="128"/>
      <c r="M89" s="128">
        <v>5.8999999999999997E-2</v>
      </c>
      <c r="N89" s="128" t="s">
        <v>136</v>
      </c>
      <c r="O89" s="250"/>
      <c r="P89" s="250"/>
      <c r="Q89" s="250"/>
      <c r="R89" s="129"/>
      <c r="S89" s="129"/>
      <c r="T89" s="129"/>
      <c r="U89" s="180"/>
      <c r="V89" s="180"/>
      <c r="W89" s="180"/>
      <c r="X89" s="180"/>
      <c r="Y89" s="180"/>
      <c r="Z89" s="180"/>
      <c r="AA89" s="180"/>
      <c r="AB89" s="180"/>
      <c r="AC89" s="180"/>
      <c r="AD89" s="180"/>
      <c r="AE89" s="180"/>
      <c r="AF89" s="180"/>
      <c r="AG89" s="180"/>
      <c r="AH89" s="180"/>
      <c r="AI89" s="130"/>
      <c r="AJ89" s="129">
        <v>1.3899999999999999E-2</v>
      </c>
      <c r="AK89" s="180"/>
    </row>
    <row r="90" spans="1:37">
      <c r="A90" s="248" t="s">
        <v>260</v>
      </c>
      <c r="B90" s="249" t="s">
        <v>261</v>
      </c>
      <c r="C90" s="249" t="s">
        <v>135</v>
      </c>
      <c r="D90" s="128"/>
      <c r="E90" s="128"/>
      <c r="F90" s="128"/>
      <c r="G90" s="128"/>
      <c r="H90" s="128"/>
      <c r="I90" s="128" t="s">
        <v>69</v>
      </c>
      <c r="J90" s="180">
        <v>0</v>
      </c>
      <c r="K90" s="180"/>
      <c r="L90" s="128"/>
      <c r="M90" s="128"/>
      <c r="N90" s="128" t="s">
        <v>136</v>
      </c>
      <c r="O90" s="250"/>
      <c r="P90" s="250"/>
      <c r="Q90" s="250"/>
      <c r="R90" s="129"/>
      <c r="S90" s="129"/>
      <c r="T90" s="129"/>
      <c r="U90" s="180"/>
      <c r="V90" s="180"/>
      <c r="W90" s="180"/>
      <c r="X90" s="180"/>
      <c r="Y90" s="180"/>
      <c r="Z90" s="180"/>
      <c r="AA90" s="180"/>
      <c r="AB90" s="180"/>
      <c r="AC90" s="180"/>
      <c r="AD90" s="180"/>
      <c r="AE90" s="180"/>
      <c r="AF90" s="180"/>
      <c r="AG90" s="180"/>
      <c r="AH90" s="180"/>
      <c r="AI90" s="130"/>
      <c r="AJ90" s="129">
        <v>1.3899999999999999E-2</v>
      </c>
      <c r="AK90" s="180"/>
    </row>
    <row r="91" spans="1:37">
      <c r="A91" s="248" t="s">
        <v>262</v>
      </c>
      <c r="B91" s="249" t="s">
        <v>263</v>
      </c>
      <c r="C91" s="249" t="s">
        <v>135</v>
      </c>
      <c r="D91" s="128" t="s">
        <v>43</v>
      </c>
      <c r="E91" s="128" t="s">
        <v>44</v>
      </c>
      <c r="F91" s="128" t="s">
        <v>1348</v>
      </c>
      <c r="G91" s="128" t="s">
        <v>58</v>
      </c>
      <c r="H91" s="128" t="s">
        <v>62</v>
      </c>
      <c r="I91" s="128" t="s">
        <v>46</v>
      </c>
      <c r="J91" s="180">
        <v>589778949.54581678</v>
      </c>
      <c r="K91" s="180"/>
      <c r="L91" s="128"/>
      <c r="M91" s="128">
        <v>0.15090000000000001</v>
      </c>
      <c r="N91" s="128" t="s">
        <v>136</v>
      </c>
      <c r="O91" s="250" t="s">
        <v>182</v>
      </c>
      <c r="P91" s="250"/>
      <c r="Q91" s="250"/>
      <c r="R91" s="129" t="s">
        <v>264</v>
      </c>
      <c r="S91" s="129"/>
      <c r="T91" s="129"/>
      <c r="U91" s="180">
        <v>24790401</v>
      </c>
      <c r="V91" s="180">
        <v>6033546</v>
      </c>
      <c r="W91" s="180"/>
      <c r="X91" s="180">
        <v>5720463</v>
      </c>
      <c r="Y91" s="180">
        <v>3500460</v>
      </c>
      <c r="Z91" s="180">
        <v>1288500</v>
      </c>
      <c r="AA91" s="180">
        <v>148000</v>
      </c>
      <c r="AB91" s="180"/>
      <c r="AC91" s="180"/>
      <c r="AD91" s="180">
        <v>7709894.4000000004</v>
      </c>
      <c r="AE91" s="180"/>
      <c r="AF91" s="180">
        <v>389538</v>
      </c>
      <c r="AG91" s="180"/>
      <c r="AH91" s="180"/>
      <c r="AI91" s="130"/>
      <c r="AJ91" s="129">
        <v>2.5499999999999998E-2</v>
      </c>
      <c r="AK91" s="180"/>
    </row>
    <row r="92" spans="1:37">
      <c r="A92" s="248" t="s">
        <v>265</v>
      </c>
      <c r="B92" s="249" t="s">
        <v>263</v>
      </c>
      <c r="C92" s="249" t="s">
        <v>135</v>
      </c>
      <c r="D92" s="128"/>
      <c r="E92" s="128"/>
      <c r="F92" s="128"/>
      <c r="G92" s="128"/>
      <c r="H92" s="128"/>
      <c r="I92" s="128" t="s">
        <v>46</v>
      </c>
      <c r="J92" s="180">
        <v>602687882.44444442</v>
      </c>
      <c r="K92" s="180"/>
      <c r="L92" s="128"/>
      <c r="M92" s="128"/>
      <c r="N92" s="128" t="s">
        <v>136</v>
      </c>
      <c r="O92" s="250"/>
      <c r="P92" s="250"/>
      <c r="Q92" s="250"/>
      <c r="R92" s="129"/>
      <c r="S92" s="129"/>
      <c r="T92" s="129"/>
      <c r="U92" s="180"/>
      <c r="V92" s="180"/>
      <c r="W92" s="180"/>
      <c r="X92" s="180"/>
      <c r="Y92" s="180"/>
      <c r="Z92" s="180"/>
      <c r="AA92" s="180"/>
      <c r="AB92" s="180"/>
      <c r="AC92" s="180"/>
      <c r="AD92" s="180"/>
      <c r="AE92" s="180"/>
      <c r="AF92" s="180"/>
      <c r="AG92" s="180"/>
      <c r="AH92" s="180"/>
      <c r="AI92" s="130"/>
      <c r="AJ92" s="129"/>
      <c r="AK92" s="180"/>
    </row>
    <row r="93" spans="1:37">
      <c r="A93" s="248" t="s">
        <v>266</v>
      </c>
      <c r="B93" s="249" t="s">
        <v>267</v>
      </c>
      <c r="C93" s="249" t="s">
        <v>135</v>
      </c>
      <c r="D93" s="128"/>
      <c r="E93" s="128"/>
      <c r="F93" s="128"/>
      <c r="G93" s="128"/>
      <c r="H93" s="128"/>
      <c r="I93" s="128" t="s">
        <v>46</v>
      </c>
      <c r="J93" s="180">
        <v>0</v>
      </c>
      <c r="K93" s="180"/>
      <c r="L93" s="128"/>
      <c r="M93" s="128"/>
      <c r="N93" s="128" t="s">
        <v>136</v>
      </c>
      <c r="O93" s="250"/>
      <c r="P93" s="250"/>
      <c r="Q93" s="250"/>
      <c r="R93" s="129"/>
      <c r="S93" s="129"/>
      <c r="T93" s="129"/>
      <c r="U93" s="180"/>
      <c r="V93" s="180"/>
      <c r="W93" s="180"/>
      <c r="X93" s="180"/>
      <c r="Y93" s="180"/>
      <c r="Z93" s="180"/>
      <c r="AA93" s="180"/>
      <c r="AB93" s="180"/>
      <c r="AC93" s="180"/>
      <c r="AD93" s="180"/>
      <c r="AE93" s="180"/>
      <c r="AF93" s="180"/>
      <c r="AG93" s="180"/>
      <c r="AH93" s="180"/>
      <c r="AI93" s="130"/>
      <c r="AJ93" s="129"/>
      <c r="AK93" s="180"/>
    </row>
    <row r="94" spans="1:37">
      <c r="A94" s="248" t="s">
        <v>268</v>
      </c>
      <c r="B94" s="249" t="s">
        <v>269</v>
      </c>
      <c r="C94" s="249" t="s">
        <v>135</v>
      </c>
      <c r="D94" s="128" t="s">
        <v>43</v>
      </c>
      <c r="E94" s="128" t="s">
        <v>44</v>
      </c>
      <c r="F94" s="128" t="s">
        <v>1348</v>
      </c>
      <c r="G94" s="128" t="s">
        <v>759</v>
      </c>
      <c r="H94" s="128" t="s">
        <v>62</v>
      </c>
      <c r="I94" s="128" t="s">
        <v>46</v>
      </c>
      <c r="J94" s="180">
        <v>1656138094.7051792</v>
      </c>
      <c r="K94" s="180"/>
      <c r="L94" s="128"/>
      <c r="M94" s="128">
        <v>-5.4100000000000002E-2</v>
      </c>
      <c r="N94" s="128" t="s">
        <v>136</v>
      </c>
      <c r="O94" s="250" t="s">
        <v>182</v>
      </c>
      <c r="P94" s="250"/>
      <c r="Q94" s="250"/>
      <c r="R94" s="129" t="s">
        <v>270</v>
      </c>
      <c r="S94" s="129"/>
      <c r="T94" s="129"/>
      <c r="U94" s="180">
        <v>36245817.329999998</v>
      </c>
      <c r="V94" s="180">
        <v>24658063</v>
      </c>
      <c r="W94" s="180"/>
      <c r="X94" s="180">
        <v>8757530</v>
      </c>
      <c r="Y94" s="180">
        <v>920987</v>
      </c>
      <c r="Z94" s="180">
        <v>1288500</v>
      </c>
      <c r="AA94" s="180">
        <v>414000</v>
      </c>
      <c r="AB94" s="180"/>
      <c r="AC94" s="180"/>
      <c r="AD94" s="180"/>
      <c r="AE94" s="180"/>
      <c r="AF94" s="180">
        <v>206737.33</v>
      </c>
      <c r="AG94" s="180"/>
      <c r="AH94" s="180"/>
      <c r="AI94" s="130"/>
      <c r="AJ94" s="129">
        <v>2.2100000000000002E-2</v>
      </c>
      <c r="AK94" s="180"/>
    </row>
    <row r="95" spans="1:37">
      <c r="A95" s="248" t="s">
        <v>271</v>
      </c>
      <c r="B95" s="249" t="s">
        <v>272</v>
      </c>
      <c r="C95" s="249" t="s">
        <v>135</v>
      </c>
      <c r="D95" s="128"/>
      <c r="E95" s="128"/>
      <c r="F95" s="128"/>
      <c r="G95" s="128"/>
      <c r="H95" s="128"/>
      <c r="I95" s="128" t="s">
        <v>226</v>
      </c>
      <c r="J95" s="180">
        <v>11293883.337450199</v>
      </c>
      <c r="K95" s="180"/>
      <c r="L95" s="128"/>
      <c r="M95" s="128">
        <v>7.1999999999999998E-3</v>
      </c>
      <c r="N95" s="128" t="s">
        <v>136</v>
      </c>
      <c r="O95" s="250"/>
      <c r="P95" s="250"/>
      <c r="Q95" s="250"/>
      <c r="R95" s="129"/>
      <c r="S95" s="129"/>
      <c r="T95" s="129"/>
      <c r="U95" s="180"/>
      <c r="V95" s="180"/>
      <c r="W95" s="180"/>
      <c r="X95" s="180"/>
      <c r="Y95" s="180"/>
      <c r="Z95" s="180"/>
      <c r="AA95" s="180"/>
      <c r="AB95" s="180"/>
      <c r="AC95" s="180"/>
      <c r="AD95" s="180"/>
      <c r="AE95" s="180"/>
      <c r="AF95" s="180"/>
      <c r="AG95" s="180"/>
      <c r="AH95" s="180"/>
      <c r="AI95" s="130"/>
      <c r="AJ95" s="129"/>
      <c r="AK95" s="180"/>
    </row>
    <row r="96" spans="1:37">
      <c r="A96" s="248" t="s">
        <v>273</v>
      </c>
      <c r="B96" s="249" t="s">
        <v>269</v>
      </c>
      <c r="C96" s="249" t="s">
        <v>135</v>
      </c>
      <c r="D96" s="128"/>
      <c r="E96" s="128"/>
      <c r="F96" s="128"/>
      <c r="G96" s="128"/>
      <c r="H96" s="128"/>
      <c r="I96" s="128" t="s">
        <v>46</v>
      </c>
      <c r="J96" s="180">
        <v>914553896.94422317</v>
      </c>
      <c r="K96" s="180"/>
      <c r="L96" s="128"/>
      <c r="M96" s="128"/>
      <c r="N96" s="128" t="s">
        <v>136</v>
      </c>
      <c r="O96" s="250"/>
      <c r="P96" s="250"/>
      <c r="Q96" s="250"/>
      <c r="R96" s="129"/>
      <c r="S96" s="129"/>
      <c r="T96" s="129"/>
      <c r="U96" s="180"/>
      <c r="V96" s="180"/>
      <c r="W96" s="180"/>
      <c r="X96" s="180"/>
      <c r="Y96" s="180"/>
      <c r="Z96" s="180"/>
      <c r="AA96" s="180"/>
      <c r="AB96" s="180"/>
      <c r="AC96" s="180"/>
      <c r="AD96" s="180"/>
      <c r="AE96" s="180"/>
      <c r="AF96" s="180"/>
      <c r="AG96" s="180"/>
      <c r="AH96" s="180"/>
      <c r="AI96" s="130"/>
      <c r="AJ96" s="129"/>
      <c r="AK96" s="180"/>
    </row>
    <row r="97" spans="1:37">
      <c r="A97" s="248" t="s">
        <v>274</v>
      </c>
      <c r="B97" s="249" t="s">
        <v>275</v>
      </c>
      <c r="C97" s="249" t="s">
        <v>135</v>
      </c>
      <c r="D97" s="128"/>
      <c r="E97" s="128"/>
      <c r="F97" s="128"/>
      <c r="G97" s="128"/>
      <c r="H97" s="128"/>
      <c r="I97" s="128" t="s">
        <v>46</v>
      </c>
      <c r="J97" s="180">
        <v>0</v>
      </c>
      <c r="K97" s="180"/>
      <c r="L97" s="128"/>
      <c r="M97" s="128"/>
      <c r="N97" s="128" t="s">
        <v>136</v>
      </c>
      <c r="O97" s="250"/>
      <c r="P97" s="250"/>
      <c r="Q97" s="250"/>
      <c r="R97" s="129"/>
      <c r="S97" s="129"/>
      <c r="T97" s="129"/>
      <c r="U97" s="180"/>
      <c r="V97" s="180"/>
      <c r="W97" s="180"/>
      <c r="X97" s="180"/>
      <c r="Y97" s="180"/>
      <c r="Z97" s="180"/>
      <c r="AA97" s="180"/>
      <c r="AB97" s="180"/>
      <c r="AC97" s="180"/>
      <c r="AD97" s="180"/>
      <c r="AE97" s="180"/>
      <c r="AF97" s="180"/>
      <c r="AG97" s="180"/>
      <c r="AH97" s="180"/>
      <c r="AI97" s="130"/>
      <c r="AJ97" s="129"/>
      <c r="AK97" s="180"/>
    </row>
    <row r="98" spans="1:37">
      <c r="A98" s="248" t="s">
        <v>276</v>
      </c>
      <c r="B98" s="249" t="s">
        <v>277</v>
      </c>
      <c r="C98" s="249" t="s">
        <v>135</v>
      </c>
      <c r="D98" s="128"/>
      <c r="E98" s="128"/>
      <c r="F98" s="128"/>
      <c r="G98" s="128"/>
      <c r="H98" s="128"/>
      <c r="I98" s="128" t="s">
        <v>239</v>
      </c>
      <c r="J98" s="180">
        <v>2747739.1470916341</v>
      </c>
      <c r="K98" s="180"/>
      <c r="L98" s="128"/>
      <c r="M98" s="128">
        <v>-3.5799999999999998E-2</v>
      </c>
      <c r="N98" s="128" t="s">
        <v>136</v>
      </c>
      <c r="O98" s="250"/>
      <c r="P98" s="250"/>
      <c r="Q98" s="250"/>
      <c r="R98" s="129"/>
      <c r="S98" s="129"/>
      <c r="T98" s="129"/>
      <c r="U98" s="180"/>
      <c r="V98" s="180"/>
      <c r="W98" s="180"/>
      <c r="X98" s="180"/>
      <c r="Y98" s="180"/>
      <c r="Z98" s="180"/>
      <c r="AA98" s="180"/>
      <c r="AB98" s="180"/>
      <c r="AC98" s="180"/>
      <c r="AD98" s="180"/>
      <c r="AE98" s="180"/>
      <c r="AF98" s="180"/>
      <c r="AG98" s="180"/>
      <c r="AH98" s="180"/>
      <c r="AI98" s="130"/>
      <c r="AJ98" s="129"/>
      <c r="AK98" s="180"/>
    </row>
    <row r="99" spans="1:37">
      <c r="A99" s="248" t="s">
        <v>278</v>
      </c>
      <c r="B99" s="249" t="s">
        <v>279</v>
      </c>
      <c r="C99" s="249" t="s">
        <v>135</v>
      </c>
      <c r="D99" s="128" t="s">
        <v>43</v>
      </c>
      <c r="E99" s="128" t="s">
        <v>44</v>
      </c>
      <c r="F99" s="128" t="s">
        <v>1348</v>
      </c>
      <c r="G99" s="128" t="s">
        <v>58</v>
      </c>
      <c r="H99" s="128" t="s">
        <v>62</v>
      </c>
      <c r="I99" s="128" t="s">
        <v>46</v>
      </c>
      <c r="J99" s="180">
        <v>670884050.87250996</v>
      </c>
      <c r="K99" s="180"/>
      <c r="L99" s="128"/>
      <c r="M99" s="128"/>
      <c r="N99" s="128" t="s">
        <v>136</v>
      </c>
      <c r="O99" s="250" t="s">
        <v>182</v>
      </c>
      <c r="P99" s="250"/>
      <c r="Q99" s="250"/>
      <c r="R99" s="129" t="s">
        <v>280</v>
      </c>
      <c r="S99" s="129"/>
      <c r="T99" s="129"/>
      <c r="U99" s="180">
        <v>23089051.140000001</v>
      </c>
      <c r="V99" s="180">
        <v>7076328</v>
      </c>
      <c r="W99" s="180"/>
      <c r="X99" s="180">
        <v>6418211</v>
      </c>
      <c r="Y99" s="180">
        <v>1081117</v>
      </c>
      <c r="Z99" s="180">
        <v>1288500</v>
      </c>
      <c r="AA99" s="180">
        <v>168000</v>
      </c>
      <c r="AB99" s="180"/>
      <c r="AC99" s="180"/>
      <c r="AD99" s="180">
        <v>7024940</v>
      </c>
      <c r="AE99" s="180"/>
      <c r="AF99" s="180">
        <v>31955.14</v>
      </c>
      <c r="AG99" s="180"/>
      <c r="AH99" s="180"/>
      <c r="AI99" s="130"/>
      <c r="AJ99" s="129">
        <v>2.2200000000000001E-2</v>
      </c>
      <c r="AK99" s="180"/>
    </row>
    <row r="100" spans="1:37">
      <c r="A100" s="248" t="s">
        <v>281</v>
      </c>
      <c r="B100" s="249" t="s">
        <v>282</v>
      </c>
      <c r="C100" s="249" t="s">
        <v>135</v>
      </c>
      <c r="D100" s="128"/>
      <c r="E100" s="128"/>
      <c r="F100" s="128"/>
      <c r="G100" s="128"/>
      <c r="H100" s="128"/>
      <c r="I100" s="128" t="s">
        <v>226</v>
      </c>
      <c r="J100" s="180">
        <v>4693191.3383665355</v>
      </c>
      <c r="K100" s="180"/>
      <c r="L100" s="128"/>
      <c r="M100" s="128"/>
      <c r="N100" s="128" t="s">
        <v>136</v>
      </c>
      <c r="O100" s="250"/>
      <c r="P100" s="250"/>
      <c r="Q100" s="250"/>
      <c r="R100" s="129"/>
      <c r="S100" s="129"/>
      <c r="T100" s="129"/>
      <c r="U100" s="180"/>
      <c r="V100" s="180"/>
      <c r="W100" s="180"/>
      <c r="X100" s="180"/>
      <c r="Y100" s="180"/>
      <c r="Z100" s="180"/>
      <c r="AA100" s="180"/>
      <c r="AB100" s="180"/>
      <c r="AC100" s="180"/>
      <c r="AD100" s="180"/>
      <c r="AE100" s="180"/>
      <c r="AF100" s="180"/>
      <c r="AG100" s="180"/>
      <c r="AH100" s="180"/>
      <c r="AI100" s="130"/>
      <c r="AJ100" s="129"/>
      <c r="AK100" s="180"/>
    </row>
    <row r="101" spans="1:37">
      <c r="A101" s="248" t="s">
        <v>283</v>
      </c>
      <c r="B101" s="249" t="s">
        <v>279</v>
      </c>
      <c r="C101" s="249" t="s">
        <v>135</v>
      </c>
      <c r="D101" s="128"/>
      <c r="E101" s="128"/>
      <c r="F101" s="128"/>
      <c r="G101" s="128"/>
      <c r="H101" s="128"/>
      <c r="I101" s="128" t="s">
        <v>46</v>
      </c>
      <c r="J101" s="180">
        <v>617305181.85258961</v>
      </c>
      <c r="K101" s="180"/>
      <c r="L101" s="128"/>
      <c r="M101" s="128">
        <v>-0.1207</v>
      </c>
      <c r="N101" s="128" t="s">
        <v>136</v>
      </c>
      <c r="O101" s="250"/>
      <c r="P101" s="250"/>
      <c r="Q101" s="250"/>
      <c r="R101" s="129"/>
      <c r="S101" s="129"/>
      <c r="T101" s="129"/>
      <c r="U101" s="180"/>
      <c r="V101" s="180"/>
      <c r="W101" s="180"/>
      <c r="X101" s="180"/>
      <c r="Y101" s="180"/>
      <c r="Z101" s="180"/>
      <c r="AA101" s="180"/>
      <c r="AB101" s="180"/>
      <c r="AC101" s="180"/>
      <c r="AD101" s="180"/>
      <c r="AE101" s="180"/>
      <c r="AF101" s="180"/>
      <c r="AG101" s="180"/>
      <c r="AH101" s="180"/>
      <c r="AI101" s="130"/>
      <c r="AJ101" s="129"/>
      <c r="AK101" s="180"/>
    </row>
    <row r="102" spans="1:37">
      <c r="A102" s="248" t="s">
        <v>284</v>
      </c>
      <c r="B102" s="249" t="s">
        <v>285</v>
      </c>
      <c r="C102" s="249" t="s">
        <v>135</v>
      </c>
      <c r="D102" s="128"/>
      <c r="E102" s="128"/>
      <c r="F102" s="128"/>
      <c r="G102" s="128"/>
      <c r="H102" s="128"/>
      <c r="I102" s="128" t="s">
        <v>46</v>
      </c>
      <c r="J102" s="180">
        <v>0</v>
      </c>
      <c r="K102" s="180"/>
      <c r="L102" s="128"/>
      <c r="M102" s="128"/>
      <c r="N102" s="128" t="s">
        <v>136</v>
      </c>
      <c r="O102" s="250"/>
      <c r="P102" s="250"/>
      <c r="Q102" s="250"/>
      <c r="R102" s="129"/>
      <c r="S102" s="129"/>
      <c r="T102" s="129"/>
      <c r="U102" s="180"/>
      <c r="V102" s="180"/>
      <c r="W102" s="180"/>
      <c r="X102" s="180"/>
      <c r="Y102" s="180"/>
      <c r="Z102" s="180"/>
      <c r="AA102" s="180"/>
      <c r="AB102" s="180"/>
      <c r="AC102" s="180"/>
      <c r="AD102" s="180"/>
      <c r="AE102" s="180"/>
      <c r="AF102" s="180"/>
      <c r="AG102" s="180"/>
      <c r="AH102" s="180"/>
      <c r="AI102" s="130"/>
      <c r="AJ102" s="129"/>
      <c r="AK102" s="180"/>
    </row>
    <row r="103" spans="1:37">
      <c r="A103" s="248" t="s">
        <v>286</v>
      </c>
      <c r="B103" s="249" t="s">
        <v>287</v>
      </c>
      <c r="C103" s="249" t="s">
        <v>135</v>
      </c>
      <c r="D103" s="128" t="s">
        <v>43</v>
      </c>
      <c r="E103" s="128" t="s">
        <v>44</v>
      </c>
      <c r="F103" s="128" t="s">
        <v>1348</v>
      </c>
      <c r="G103" s="128" t="s">
        <v>58</v>
      </c>
      <c r="H103" s="128" t="s">
        <v>62</v>
      </c>
      <c r="I103" s="128" t="s">
        <v>46</v>
      </c>
      <c r="J103" s="180">
        <v>3603429629.8326693</v>
      </c>
      <c r="K103" s="180"/>
      <c r="L103" s="128"/>
      <c r="M103" s="128">
        <v>0.1545</v>
      </c>
      <c r="N103" s="128" t="s">
        <v>136</v>
      </c>
      <c r="O103" s="250" t="s">
        <v>182</v>
      </c>
      <c r="P103" s="250"/>
      <c r="Q103" s="250"/>
      <c r="R103" s="129" t="s">
        <v>138</v>
      </c>
      <c r="S103" s="129"/>
      <c r="T103" s="129"/>
      <c r="U103" s="180">
        <v>81692810.50999999</v>
      </c>
      <c r="V103" s="180">
        <v>37632621</v>
      </c>
      <c r="W103" s="180"/>
      <c r="X103" s="180">
        <v>38545480</v>
      </c>
      <c r="Y103" s="180">
        <v>1860692</v>
      </c>
      <c r="Z103" s="180">
        <v>2514650</v>
      </c>
      <c r="AA103" s="180">
        <v>901000</v>
      </c>
      <c r="AB103" s="180"/>
      <c r="AC103" s="180"/>
      <c r="AD103" s="180"/>
      <c r="AE103" s="180"/>
      <c r="AF103" s="180">
        <v>137567.51</v>
      </c>
      <c r="AG103" s="180"/>
      <c r="AH103" s="180">
        <v>100800</v>
      </c>
      <c r="AI103" s="130"/>
      <c r="AJ103" s="129">
        <v>2.5499999999999998E-2</v>
      </c>
      <c r="AK103" s="180"/>
    </row>
    <row r="104" spans="1:37">
      <c r="A104" s="248" t="s">
        <v>288</v>
      </c>
      <c r="B104" s="249" t="s">
        <v>289</v>
      </c>
      <c r="C104" s="249" t="s">
        <v>135</v>
      </c>
      <c r="D104" s="128" t="s">
        <v>43</v>
      </c>
      <c r="E104" s="128" t="s">
        <v>44</v>
      </c>
      <c r="F104" s="128" t="s">
        <v>1348</v>
      </c>
      <c r="G104" s="128" t="s">
        <v>97</v>
      </c>
      <c r="H104" s="128" t="s">
        <v>62</v>
      </c>
      <c r="I104" s="128" t="s">
        <v>46</v>
      </c>
      <c r="J104" s="180">
        <v>654196890.63346612</v>
      </c>
      <c r="K104" s="180"/>
      <c r="L104" s="128"/>
      <c r="M104" s="128">
        <v>-4.6300000000000001E-2</v>
      </c>
      <c r="N104" s="128" t="s">
        <v>136</v>
      </c>
      <c r="O104" s="250" t="s">
        <v>182</v>
      </c>
      <c r="P104" s="250"/>
      <c r="Q104" s="250"/>
      <c r="R104" s="129" t="s">
        <v>290</v>
      </c>
      <c r="S104" s="129"/>
      <c r="T104" s="129"/>
      <c r="U104" s="180">
        <v>25651226.210000001</v>
      </c>
      <c r="V104" s="180">
        <v>5042893</v>
      </c>
      <c r="W104" s="180"/>
      <c r="X104" s="180">
        <v>8055367</v>
      </c>
      <c r="Y104" s="180">
        <v>1607095</v>
      </c>
      <c r="Z104" s="180">
        <v>2514649</v>
      </c>
      <c r="AA104" s="180">
        <v>164000</v>
      </c>
      <c r="AB104" s="180"/>
      <c r="AC104" s="180"/>
      <c r="AD104" s="180">
        <v>8232840.3499999996</v>
      </c>
      <c r="AE104" s="180">
        <v>119.86999999998807</v>
      </c>
      <c r="AF104" s="180">
        <v>34381.86</v>
      </c>
      <c r="AG104" s="180"/>
      <c r="AH104" s="180"/>
      <c r="AI104" s="130"/>
      <c r="AJ104" s="129">
        <v>2.4199999999999999E-2</v>
      </c>
      <c r="AK104" s="180"/>
    </row>
    <row r="105" spans="1:37">
      <c r="A105" s="248" t="s">
        <v>291</v>
      </c>
      <c r="B105" s="249" t="s">
        <v>289</v>
      </c>
      <c r="C105" s="249" t="s">
        <v>135</v>
      </c>
      <c r="D105" s="128"/>
      <c r="E105" s="128"/>
      <c r="F105" s="128"/>
      <c r="G105" s="128"/>
      <c r="H105" s="128"/>
      <c r="I105" s="128" t="s">
        <v>46</v>
      </c>
      <c r="J105" s="180"/>
      <c r="K105" s="180"/>
      <c r="L105" s="128"/>
      <c r="M105" s="128"/>
      <c r="N105" s="128" t="s">
        <v>136</v>
      </c>
      <c r="O105" s="250"/>
      <c r="P105" s="250"/>
      <c r="Q105" s="250"/>
      <c r="R105" s="129"/>
      <c r="S105" s="129"/>
      <c r="T105" s="129"/>
      <c r="U105" s="180"/>
      <c r="V105" s="180"/>
      <c r="W105" s="180"/>
      <c r="X105" s="180"/>
      <c r="Y105" s="180"/>
      <c r="Z105" s="180"/>
      <c r="AA105" s="180"/>
      <c r="AB105" s="180"/>
      <c r="AC105" s="180"/>
      <c r="AD105" s="180"/>
      <c r="AE105" s="180"/>
      <c r="AF105" s="180"/>
      <c r="AG105" s="180"/>
      <c r="AH105" s="180"/>
      <c r="AI105" s="130"/>
      <c r="AJ105" s="129"/>
      <c r="AK105" s="180"/>
    </row>
    <row r="106" spans="1:37">
      <c r="A106" s="248" t="s">
        <v>292</v>
      </c>
      <c r="B106" s="249" t="s">
        <v>293</v>
      </c>
      <c r="C106" s="249" t="s">
        <v>135</v>
      </c>
      <c r="D106" s="128"/>
      <c r="E106" s="128"/>
      <c r="F106" s="128"/>
      <c r="G106" s="128"/>
      <c r="H106" s="128"/>
      <c r="I106" s="128" t="s">
        <v>46</v>
      </c>
      <c r="J106" s="180"/>
      <c r="K106" s="180"/>
      <c r="L106" s="128"/>
      <c r="M106" s="128"/>
      <c r="N106" s="128" t="s">
        <v>136</v>
      </c>
      <c r="O106" s="250"/>
      <c r="P106" s="250"/>
      <c r="Q106" s="250"/>
      <c r="R106" s="129"/>
      <c r="S106" s="129"/>
      <c r="T106" s="129"/>
      <c r="U106" s="180"/>
      <c r="V106" s="180"/>
      <c r="W106" s="180"/>
      <c r="X106" s="180"/>
      <c r="Y106" s="180"/>
      <c r="Z106" s="180"/>
      <c r="AA106" s="180"/>
      <c r="AB106" s="180"/>
      <c r="AC106" s="180"/>
      <c r="AD106" s="180"/>
      <c r="AE106" s="180"/>
      <c r="AF106" s="180"/>
      <c r="AG106" s="180"/>
      <c r="AH106" s="180"/>
      <c r="AI106" s="130"/>
      <c r="AJ106" s="129"/>
      <c r="AK106" s="180"/>
    </row>
    <row r="107" spans="1:37">
      <c r="A107" s="248" t="s">
        <v>294</v>
      </c>
      <c r="B107" s="249" t="s">
        <v>295</v>
      </c>
      <c r="C107" s="249" t="s">
        <v>135</v>
      </c>
      <c r="D107" s="128" t="s">
        <v>43</v>
      </c>
      <c r="E107" s="128" t="s">
        <v>44</v>
      </c>
      <c r="F107" s="128" t="s">
        <v>1348</v>
      </c>
      <c r="G107" s="128" t="s">
        <v>81</v>
      </c>
      <c r="H107" s="128" t="s">
        <v>62</v>
      </c>
      <c r="I107" s="128" t="s">
        <v>226</v>
      </c>
      <c r="J107" s="180">
        <v>2569236929.1521077</v>
      </c>
      <c r="K107" s="180"/>
      <c r="L107" s="128"/>
      <c r="M107" s="128">
        <v>2.0899999999999998E-2</v>
      </c>
      <c r="N107" s="128" t="s">
        <v>136</v>
      </c>
      <c r="O107" s="250" t="s">
        <v>219</v>
      </c>
      <c r="P107" s="250"/>
      <c r="Q107" s="250"/>
      <c r="R107" s="129" t="s">
        <v>161</v>
      </c>
      <c r="S107" s="129"/>
      <c r="T107" s="129"/>
      <c r="U107" s="180">
        <v>22232660.546784293</v>
      </c>
      <c r="V107" s="180">
        <v>8294224.8199999984</v>
      </c>
      <c r="W107" s="180"/>
      <c r="X107" s="180">
        <v>12357581.15</v>
      </c>
      <c r="Y107" s="180">
        <v>959043.57</v>
      </c>
      <c r="Z107" s="180">
        <v>125741.01382488479</v>
      </c>
      <c r="AA107" s="180">
        <v>437996.19</v>
      </c>
      <c r="AB107" s="180"/>
      <c r="AC107" s="180"/>
      <c r="AD107" s="180"/>
      <c r="AE107" s="180"/>
      <c r="AF107" s="180">
        <v>58073.802959423556</v>
      </c>
      <c r="AG107" s="180"/>
      <c r="AH107" s="180"/>
      <c r="AI107" s="130"/>
      <c r="AJ107" s="129">
        <v>5.7999999999999996E-3</v>
      </c>
      <c r="AK107" s="180"/>
    </row>
    <row r="108" spans="1:37">
      <c r="A108" s="248" t="s">
        <v>296</v>
      </c>
      <c r="B108" s="249" t="s">
        <v>297</v>
      </c>
      <c r="C108" s="249" t="s">
        <v>135</v>
      </c>
      <c r="D108" s="128" t="s">
        <v>43</v>
      </c>
      <c r="E108" s="128" t="s">
        <v>44</v>
      </c>
      <c r="F108" s="128" t="s">
        <v>1348</v>
      </c>
      <c r="G108" s="128" t="s">
        <v>58</v>
      </c>
      <c r="H108" s="128" t="s">
        <v>62</v>
      </c>
      <c r="I108" s="128" t="s">
        <v>46</v>
      </c>
      <c r="J108" s="180">
        <v>4657795611.0717134</v>
      </c>
      <c r="K108" s="180"/>
      <c r="L108" s="128"/>
      <c r="M108" s="128"/>
      <c r="N108" s="128" t="s">
        <v>136</v>
      </c>
      <c r="O108" s="250" t="s">
        <v>182</v>
      </c>
      <c r="P108" s="250"/>
      <c r="Q108" s="250"/>
      <c r="R108" s="129" t="s">
        <v>194</v>
      </c>
      <c r="S108" s="129"/>
      <c r="T108" s="129"/>
      <c r="U108" s="180">
        <v>105065321.47</v>
      </c>
      <c r="V108" s="180">
        <v>36468579</v>
      </c>
      <c r="W108" s="180"/>
      <c r="X108" s="180">
        <v>56105623.409999996</v>
      </c>
      <c r="Y108" s="180">
        <v>4838103</v>
      </c>
      <c r="Z108" s="180">
        <v>3740809</v>
      </c>
      <c r="AA108" s="180">
        <v>1165000</v>
      </c>
      <c r="AB108" s="180"/>
      <c r="AC108" s="180"/>
      <c r="AD108" s="180">
        <v>2594224.21</v>
      </c>
      <c r="AE108" s="180"/>
      <c r="AF108" s="180">
        <v>152982.85</v>
      </c>
      <c r="AG108" s="180"/>
      <c r="AH108" s="180"/>
      <c r="AI108" s="130"/>
      <c r="AJ108" s="129">
        <v>2.18E-2</v>
      </c>
      <c r="AK108" s="180"/>
    </row>
    <row r="109" spans="1:37">
      <c r="A109" s="248" t="s">
        <v>298</v>
      </c>
      <c r="B109" s="249" t="s">
        <v>299</v>
      </c>
      <c r="C109" s="249" t="s">
        <v>135</v>
      </c>
      <c r="D109" s="128"/>
      <c r="E109" s="128"/>
      <c r="F109" s="128"/>
      <c r="G109" s="128"/>
      <c r="H109" s="128"/>
      <c r="I109" s="128" t="s">
        <v>226</v>
      </c>
      <c r="J109" s="180">
        <v>1525535.2389243022</v>
      </c>
      <c r="K109" s="180"/>
      <c r="L109" s="128"/>
      <c r="M109" s="128">
        <v>2.4199999999999999E-2</v>
      </c>
      <c r="N109" s="128" t="s">
        <v>136</v>
      </c>
      <c r="O109" s="250"/>
      <c r="P109" s="250"/>
      <c r="Q109" s="250"/>
      <c r="R109" s="129"/>
      <c r="S109" s="129"/>
      <c r="T109" s="129"/>
      <c r="U109" s="180"/>
      <c r="V109" s="180"/>
      <c r="W109" s="180"/>
      <c r="X109" s="180"/>
      <c r="Y109" s="180"/>
      <c r="Z109" s="180"/>
      <c r="AA109" s="180"/>
      <c r="AB109" s="180"/>
      <c r="AC109" s="180"/>
      <c r="AD109" s="180"/>
      <c r="AE109" s="180"/>
      <c r="AF109" s="180"/>
      <c r="AG109" s="180"/>
      <c r="AH109" s="180"/>
      <c r="AI109" s="130"/>
      <c r="AJ109" s="129"/>
      <c r="AK109" s="180"/>
    </row>
    <row r="110" spans="1:37">
      <c r="A110" s="248" t="s">
        <v>300</v>
      </c>
      <c r="B110" s="249" t="s">
        <v>301</v>
      </c>
      <c r="C110" s="249" t="s">
        <v>135</v>
      </c>
      <c r="D110" s="128"/>
      <c r="E110" s="128"/>
      <c r="F110" s="128"/>
      <c r="G110" s="128"/>
      <c r="H110" s="128"/>
      <c r="I110" s="128" t="s">
        <v>226</v>
      </c>
      <c r="J110" s="180">
        <v>318165.57266932266</v>
      </c>
      <c r="K110" s="180"/>
      <c r="L110" s="128"/>
      <c r="M110" s="128">
        <v>-5.8200000000000002E-2</v>
      </c>
      <c r="N110" s="128" t="s">
        <v>136</v>
      </c>
      <c r="O110" s="250"/>
      <c r="P110" s="250"/>
      <c r="Q110" s="250"/>
      <c r="R110" s="129"/>
      <c r="S110" s="129"/>
      <c r="T110" s="129"/>
      <c r="U110" s="180"/>
      <c r="V110" s="180"/>
      <c r="W110" s="180"/>
      <c r="X110" s="180"/>
      <c r="Y110" s="180"/>
      <c r="Z110" s="180"/>
      <c r="AA110" s="180"/>
      <c r="AB110" s="180"/>
      <c r="AC110" s="180"/>
      <c r="AD110" s="180"/>
      <c r="AE110" s="180"/>
      <c r="AF110" s="180"/>
      <c r="AG110" s="180"/>
      <c r="AH110" s="180"/>
      <c r="AI110" s="130"/>
      <c r="AJ110" s="129"/>
      <c r="AK110" s="180"/>
    </row>
    <row r="111" spans="1:37">
      <c r="A111" s="248" t="s">
        <v>302</v>
      </c>
      <c r="B111" s="249" t="s">
        <v>297</v>
      </c>
      <c r="C111" s="249" t="s">
        <v>135</v>
      </c>
      <c r="D111" s="128"/>
      <c r="E111" s="128"/>
      <c r="F111" s="128"/>
      <c r="G111" s="128"/>
      <c r="H111" s="128"/>
      <c r="I111" s="128" t="s">
        <v>69</v>
      </c>
      <c r="J111" s="180">
        <v>4545951749.466135</v>
      </c>
      <c r="K111" s="180"/>
      <c r="L111" s="128"/>
      <c r="M111" s="128">
        <v>-3.78E-2</v>
      </c>
      <c r="N111" s="128" t="s">
        <v>136</v>
      </c>
      <c r="O111" s="250"/>
      <c r="P111" s="250"/>
      <c r="Q111" s="250"/>
      <c r="R111" s="129"/>
      <c r="S111" s="129"/>
      <c r="T111" s="129"/>
      <c r="U111" s="180"/>
      <c r="V111" s="180"/>
      <c r="W111" s="180"/>
      <c r="X111" s="180"/>
      <c r="Y111" s="180"/>
      <c r="Z111" s="180"/>
      <c r="AA111" s="180"/>
      <c r="AB111" s="180"/>
      <c r="AC111" s="180"/>
      <c r="AD111" s="180"/>
      <c r="AE111" s="180"/>
      <c r="AF111" s="180"/>
      <c r="AG111" s="180"/>
      <c r="AH111" s="180"/>
      <c r="AI111" s="130"/>
      <c r="AJ111" s="129"/>
      <c r="AK111" s="180"/>
    </row>
    <row r="112" spans="1:37">
      <c r="A112" s="248" t="s">
        <v>303</v>
      </c>
      <c r="B112" s="249" t="s">
        <v>304</v>
      </c>
      <c r="C112" s="249" t="s">
        <v>135</v>
      </c>
      <c r="D112" s="128"/>
      <c r="E112" s="128"/>
      <c r="F112" s="128"/>
      <c r="G112" s="128"/>
      <c r="H112" s="128"/>
      <c r="I112" s="128" t="s">
        <v>46</v>
      </c>
      <c r="J112" s="180">
        <v>0</v>
      </c>
      <c r="K112" s="180"/>
      <c r="L112" s="128"/>
      <c r="M112" s="128"/>
      <c r="N112" s="128" t="s">
        <v>136</v>
      </c>
      <c r="O112" s="250"/>
      <c r="P112" s="250"/>
      <c r="Q112" s="250"/>
      <c r="R112" s="129"/>
      <c r="S112" s="129"/>
      <c r="T112" s="129"/>
      <c r="U112" s="180"/>
      <c r="V112" s="180"/>
      <c r="W112" s="180"/>
      <c r="X112" s="180"/>
      <c r="Y112" s="180"/>
      <c r="Z112" s="180"/>
      <c r="AA112" s="180"/>
      <c r="AB112" s="180"/>
      <c r="AC112" s="180"/>
      <c r="AD112" s="180"/>
      <c r="AE112" s="180"/>
      <c r="AF112" s="180"/>
      <c r="AG112" s="180"/>
      <c r="AH112" s="180"/>
      <c r="AI112" s="130"/>
      <c r="AJ112" s="129"/>
      <c r="AK112" s="180"/>
    </row>
    <row r="113" spans="1:37">
      <c r="A113" s="248" t="s">
        <v>305</v>
      </c>
      <c r="B113" s="249" t="s">
        <v>306</v>
      </c>
      <c r="C113" s="249" t="s">
        <v>135</v>
      </c>
      <c r="D113" s="128" t="s">
        <v>43</v>
      </c>
      <c r="E113" s="128" t="s">
        <v>44</v>
      </c>
      <c r="F113" s="128" t="s">
        <v>1348</v>
      </c>
      <c r="G113" s="128" t="s">
        <v>666</v>
      </c>
      <c r="H113" s="128" t="s">
        <v>62</v>
      </c>
      <c r="I113" s="128" t="s">
        <v>46</v>
      </c>
      <c r="J113" s="180">
        <v>1174692477.1474104</v>
      </c>
      <c r="K113" s="180"/>
      <c r="L113" s="128"/>
      <c r="M113" s="128">
        <v>-8.2799999999999999E-2</v>
      </c>
      <c r="N113" s="128" t="s">
        <v>136</v>
      </c>
      <c r="O113" s="250" t="s">
        <v>182</v>
      </c>
      <c r="P113" s="250"/>
      <c r="Q113" s="250"/>
      <c r="R113" s="129" t="s">
        <v>138</v>
      </c>
      <c r="S113" s="129"/>
      <c r="T113" s="129"/>
      <c r="U113" s="180">
        <v>35751046.519999996</v>
      </c>
      <c r="V113" s="180">
        <v>14702169</v>
      </c>
      <c r="W113" s="180"/>
      <c r="X113" s="180">
        <v>14366970</v>
      </c>
      <c r="Y113" s="180">
        <v>510445</v>
      </c>
      <c r="Z113" s="180">
        <v>1934577</v>
      </c>
      <c r="AA113" s="180">
        <v>293000</v>
      </c>
      <c r="AB113" s="180"/>
      <c r="AC113" s="180"/>
      <c r="AD113" s="180">
        <v>3870251</v>
      </c>
      <c r="AE113" s="180">
        <v>7244.030000000057</v>
      </c>
      <c r="AF113" s="180">
        <v>73634.52</v>
      </c>
      <c r="AG113" s="180"/>
      <c r="AH113" s="180"/>
      <c r="AI113" s="130"/>
      <c r="AJ113" s="129">
        <v>2.6800000000000001E-2</v>
      </c>
      <c r="AK113" s="180"/>
    </row>
    <row r="114" spans="1:37">
      <c r="A114" s="248" t="s">
        <v>307</v>
      </c>
      <c r="B114" s="249" t="s">
        <v>306</v>
      </c>
      <c r="C114" s="249" t="s">
        <v>135</v>
      </c>
      <c r="D114" s="128"/>
      <c r="E114" s="128"/>
      <c r="F114" s="128"/>
      <c r="G114" s="128"/>
      <c r="H114" s="128"/>
      <c r="I114" s="128" t="s">
        <v>46</v>
      </c>
      <c r="J114" s="180">
        <v>791461601</v>
      </c>
      <c r="K114" s="180"/>
      <c r="L114" s="128"/>
      <c r="M114" s="128"/>
      <c r="N114" s="128" t="s">
        <v>136</v>
      </c>
      <c r="O114" s="250"/>
      <c r="P114" s="250"/>
      <c r="Q114" s="250"/>
      <c r="R114" s="129"/>
      <c r="S114" s="129"/>
      <c r="T114" s="129"/>
      <c r="U114" s="180"/>
      <c r="V114" s="180"/>
      <c r="W114" s="180"/>
      <c r="X114" s="180"/>
      <c r="Y114" s="180"/>
      <c r="Z114" s="180"/>
      <c r="AA114" s="180"/>
      <c r="AB114" s="180"/>
      <c r="AC114" s="180"/>
      <c r="AD114" s="180"/>
      <c r="AE114" s="180"/>
      <c r="AF114" s="180"/>
      <c r="AG114" s="180"/>
      <c r="AH114" s="180"/>
      <c r="AI114" s="130"/>
      <c r="AJ114" s="129"/>
      <c r="AK114" s="180"/>
    </row>
    <row r="115" spans="1:37">
      <c r="A115" s="248" t="s">
        <v>308</v>
      </c>
      <c r="B115" s="249" t="s">
        <v>309</v>
      </c>
      <c r="C115" s="249" t="s">
        <v>135</v>
      </c>
      <c r="D115" s="128"/>
      <c r="E115" s="128"/>
      <c r="F115" s="128"/>
      <c r="G115" s="128"/>
      <c r="H115" s="128"/>
      <c r="I115" s="128" t="s">
        <v>46</v>
      </c>
      <c r="J115" s="180">
        <v>0</v>
      </c>
      <c r="K115" s="180"/>
      <c r="L115" s="128"/>
      <c r="M115" s="128"/>
      <c r="N115" s="128" t="s">
        <v>136</v>
      </c>
      <c r="O115" s="250"/>
      <c r="P115" s="250"/>
      <c r="Q115" s="250"/>
      <c r="R115" s="129"/>
      <c r="S115" s="129"/>
      <c r="T115" s="129"/>
      <c r="U115" s="180"/>
      <c r="V115" s="180"/>
      <c r="W115" s="180"/>
      <c r="X115" s="180"/>
      <c r="Y115" s="180"/>
      <c r="Z115" s="180"/>
      <c r="AA115" s="180"/>
      <c r="AB115" s="180"/>
      <c r="AC115" s="180"/>
      <c r="AD115" s="180"/>
      <c r="AE115" s="180"/>
      <c r="AF115" s="180"/>
      <c r="AG115" s="180"/>
      <c r="AH115" s="180"/>
      <c r="AI115" s="130"/>
      <c r="AJ115" s="129"/>
      <c r="AK115" s="180"/>
    </row>
    <row r="116" spans="1:37">
      <c r="A116" s="248" t="s">
        <v>310</v>
      </c>
      <c r="B116" s="249" t="s">
        <v>311</v>
      </c>
      <c r="C116" s="249" t="s">
        <v>135</v>
      </c>
      <c r="D116" s="128" t="s">
        <v>43</v>
      </c>
      <c r="E116" s="128" t="s">
        <v>44</v>
      </c>
      <c r="F116" s="128" t="s">
        <v>1348</v>
      </c>
      <c r="G116" s="128" t="s">
        <v>1350</v>
      </c>
      <c r="H116" s="128" t="s">
        <v>62</v>
      </c>
      <c r="I116" s="128" t="s">
        <v>46</v>
      </c>
      <c r="J116" s="180"/>
      <c r="K116" s="180"/>
      <c r="L116" s="128"/>
      <c r="M116" s="128"/>
      <c r="N116" s="128" t="s">
        <v>136</v>
      </c>
      <c r="O116" s="250" t="s">
        <v>182</v>
      </c>
      <c r="P116" s="250"/>
      <c r="Q116" s="250"/>
      <c r="R116" s="129" t="s">
        <v>229</v>
      </c>
      <c r="S116" s="129"/>
      <c r="T116" s="129"/>
      <c r="U116" s="180"/>
      <c r="V116" s="180"/>
      <c r="W116" s="180"/>
      <c r="X116" s="180"/>
      <c r="Y116" s="180"/>
      <c r="Z116" s="180"/>
      <c r="AA116" s="180"/>
      <c r="AB116" s="180"/>
      <c r="AC116" s="180"/>
      <c r="AD116" s="180"/>
      <c r="AE116" s="180"/>
      <c r="AF116" s="180"/>
      <c r="AG116" s="180"/>
      <c r="AH116" s="180"/>
      <c r="AI116" s="130"/>
      <c r="AJ116" s="129">
        <v>2.4199999999999999E-2</v>
      </c>
      <c r="AK116" s="180"/>
    </row>
    <row r="117" spans="1:37">
      <c r="A117" s="10" t="s">
        <v>313</v>
      </c>
      <c r="B117" s="11" t="s">
        <v>314</v>
      </c>
      <c r="C117" s="11" t="s">
        <v>315</v>
      </c>
      <c r="D117" s="98" t="s">
        <v>43</v>
      </c>
      <c r="E117" s="98" t="s">
        <v>44</v>
      </c>
      <c r="F117" s="98" t="s">
        <v>1348</v>
      </c>
      <c r="G117" s="98" t="s">
        <v>641</v>
      </c>
      <c r="H117" s="98" t="s">
        <v>45</v>
      </c>
      <c r="I117" s="11" t="s">
        <v>46</v>
      </c>
      <c r="J117" s="31">
        <v>106068736988</v>
      </c>
      <c r="K117" s="31" t="s">
        <v>122</v>
      </c>
      <c r="L117" s="11" t="s">
        <v>122</v>
      </c>
      <c r="M117" s="12">
        <v>3.9730927656771664E-2</v>
      </c>
      <c r="N117" s="12" t="s">
        <v>122</v>
      </c>
      <c r="O117" s="209">
        <v>2.5000000000000001E-2</v>
      </c>
      <c r="P117" s="210">
        <v>0</v>
      </c>
      <c r="Q117" s="20" t="s">
        <v>122</v>
      </c>
      <c r="R117" s="12">
        <v>8.0000000000000004E-4</v>
      </c>
      <c r="S117" s="11" t="s">
        <v>122</v>
      </c>
      <c r="T117" s="11" t="s">
        <v>122</v>
      </c>
      <c r="U117" s="31">
        <f>SUM(V117:AH117)</f>
        <v>1661381593</v>
      </c>
      <c r="V117" s="31">
        <v>1548153363</v>
      </c>
      <c r="W117" s="31">
        <v>0</v>
      </c>
      <c r="X117" s="31">
        <v>0</v>
      </c>
      <c r="Y117" s="31">
        <v>85056450</v>
      </c>
      <c r="Z117" s="31">
        <f>522478+1143000</f>
        <v>1665478</v>
      </c>
      <c r="AA117" s="31">
        <v>26409389</v>
      </c>
      <c r="AB117" s="31">
        <v>0</v>
      </c>
      <c r="AC117" s="31">
        <v>0</v>
      </c>
      <c r="AD117" s="31">
        <v>62400</v>
      </c>
      <c r="AE117" s="35">
        <v>0</v>
      </c>
      <c r="AF117" s="31">
        <v>34513</v>
      </c>
      <c r="AG117" s="31">
        <v>0</v>
      </c>
      <c r="AH117" s="31">
        <v>0</v>
      </c>
      <c r="AI117" s="11" t="s">
        <v>122</v>
      </c>
      <c r="AJ117" s="12">
        <v>1.5699999999999999E-2</v>
      </c>
      <c r="AK117" s="31">
        <v>0</v>
      </c>
    </row>
    <row r="118" spans="1:37">
      <c r="A118" s="10" t="s">
        <v>316</v>
      </c>
      <c r="B118" s="11" t="s">
        <v>317</v>
      </c>
      <c r="C118" s="11" t="s">
        <v>315</v>
      </c>
      <c r="D118" s="98" t="s">
        <v>43</v>
      </c>
      <c r="E118" s="98" t="s">
        <v>44</v>
      </c>
      <c r="F118" s="98" t="s">
        <v>1348</v>
      </c>
      <c r="G118" s="204" t="s">
        <v>365</v>
      </c>
      <c r="H118" s="98" t="s">
        <v>45</v>
      </c>
      <c r="I118" s="11" t="s">
        <v>46</v>
      </c>
      <c r="J118" s="31">
        <v>30568564460</v>
      </c>
      <c r="K118" s="31" t="s">
        <v>122</v>
      </c>
      <c r="L118" s="11" t="s">
        <v>122</v>
      </c>
      <c r="M118" s="12">
        <v>4.2539449762869275E-2</v>
      </c>
      <c r="N118" s="12">
        <v>5.6605130378909074E-2</v>
      </c>
      <c r="O118" s="211">
        <v>2.5000000000000001E-2</v>
      </c>
      <c r="P118" s="210">
        <v>0</v>
      </c>
      <c r="Q118" s="20" t="s">
        <v>122</v>
      </c>
      <c r="R118" s="12">
        <v>8.0000000000000004E-4</v>
      </c>
      <c r="S118" s="11" t="s">
        <v>122</v>
      </c>
      <c r="T118" s="11" t="s">
        <v>122</v>
      </c>
      <c r="U118" s="31">
        <f t="shared" ref="U118:U132" si="2">SUM(V118:AH118)</f>
        <v>522540719</v>
      </c>
      <c r="V118" s="31">
        <v>487009243</v>
      </c>
      <c r="W118" s="31">
        <v>0</v>
      </c>
      <c r="X118" s="31">
        <v>0</v>
      </c>
      <c r="Y118" s="31">
        <v>24394280</v>
      </c>
      <c r="Z118" s="31">
        <f>653098+1143000</f>
        <v>1796098</v>
      </c>
      <c r="AA118" s="31">
        <v>7586326</v>
      </c>
      <c r="AB118" s="31">
        <v>0</v>
      </c>
      <c r="AC118" s="31">
        <v>0</v>
      </c>
      <c r="AD118" s="31">
        <v>54000</v>
      </c>
      <c r="AE118" s="35">
        <v>0</v>
      </c>
      <c r="AF118" s="31">
        <v>50633</v>
      </c>
      <c r="AG118" s="31">
        <v>0</v>
      </c>
      <c r="AH118" s="31">
        <v>1650139</v>
      </c>
      <c r="AI118" s="13" t="s">
        <v>122</v>
      </c>
      <c r="AJ118" s="29">
        <v>1.7100000000000001E-2</v>
      </c>
      <c r="AK118" s="31">
        <v>0</v>
      </c>
    </row>
    <row r="119" spans="1:37">
      <c r="A119" s="14" t="s">
        <v>318</v>
      </c>
      <c r="B119" s="13" t="s">
        <v>319</v>
      </c>
      <c r="C119" s="11" t="s">
        <v>315</v>
      </c>
      <c r="D119" s="98" t="s">
        <v>43</v>
      </c>
      <c r="E119" s="98" t="s">
        <v>44</v>
      </c>
      <c r="F119" s="98" t="s">
        <v>1348</v>
      </c>
      <c r="G119" s="204" t="s">
        <v>365</v>
      </c>
      <c r="H119" s="98" t="s">
        <v>62</v>
      </c>
      <c r="I119" s="13" t="s">
        <v>69</v>
      </c>
      <c r="J119" s="32">
        <v>104814796.59646335</v>
      </c>
      <c r="K119" s="33" t="s">
        <v>122</v>
      </c>
      <c r="L119" s="13" t="s">
        <v>122</v>
      </c>
      <c r="M119" s="15">
        <v>1.54E-2</v>
      </c>
      <c r="N119" s="15" t="s">
        <v>122</v>
      </c>
      <c r="O119" s="212">
        <v>2.5000000000000001E-2</v>
      </c>
      <c r="P119" s="213">
        <v>0</v>
      </c>
      <c r="Q119" s="214" t="s">
        <v>122</v>
      </c>
      <c r="R119" s="19">
        <v>5.0000000000000001E-4</v>
      </c>
      <c r="S119" s="13" t="s">
        <v>122</v>
      </c>
      <c r="T119" s="13" t="s">
        <v>122</v>
      </c>
      <c r="U119" s="31">
        <f t="shared" si="2"/>
        <v>276527613</v>
      </c>
      <c r="V119" s="32">
        <v>250142831</v>
      </c>
      <c r="W119" s="32">
        <v>0</v>
      </c>
      <c r="X119" s="32">
        <v>0</v>
      </c>
      <c r="Y119" s="32">
        <v>15726389</v>
      </c>
      <c r="Z119" s="32">
        <f>520682+1203014</f>
        <v>1723696</v>
      </c>
      <c r="AA119" s="32">
        <v>7814507</v>
      </c>
      <c r="AB119" s="32">
        <v>0</v>
      </c>
      <c r="AC119" s="31">
        <v>0</v>
      </c>
      <c r="AD119" s="32">
        <v>12259</v>
      </c>
      <c r="AE119" s="36">
        <v>0</v>
      </c>
      <c r="AF119" s="32">
        <v>38944</v>
      </c>
      <c r="AG119" s="32">
        <v>0</v>
      </c>
      <c r="AH119" s="32">
        <v>1068987</v>
      </c>
      <c r="AI119" s="11" t="s">
        <v>122</v>
      </c>
      <c r="AJ119" s="19">
        <v>7.3000000000000001E-3</v>
      </c>
      <c r="AK119" s="32">
        <v>0</v>
      </c>
    </row>
    <row r="120" spans="1:37">
      <c r="A120" s="10" t="s">
        <v>320</v>
      </c>
      <c r="B120" s="11" t="s">
        <v>321</v>
      </c>
      <c r="C120" s="11" t="s">
        <v>315</v>
      </c>
      <c r="D120" s="98" t="s">
        <v>43</v>
      </c>
      <c r="E120" s="98" t="s">
        <v>44</v>
      </c>
      <c r="F120" s="98" t="s">
        <v>1348</v>
      </c>
      <c r="G120" s="98" t="s">
        <v>830</v>
      </c>
      <c r="H120" s="11" t="s">
        <v>1358</v>
      </c>
      <c r="I120" s="11" t="s">
        <v>46</v>
      </c>
      <c r="J120" s="31">
        <v>743048661</v>
      </c>
      <c r="K120" s="31" t="s">
        <v>122</v>
      </c>
      <c r="L120" s="11" t="s">
        <v>122</v>
      </c>
      <c r="M120" s="12">
        <v>4.3012245796114623E-3</v>
      </c>
      <c r="N120" s="12">
        <v>5.6605130378909074E-2</v>
      </c>
      <c r="O120" s="211">
        <v>2.5000000000000001E-2</v>
      </c>
      <c r="P120" s="210">
        <v>0</v>
      </c>
      <c r="Q120" s="20" t="s">
        <v>122</v>
      </c>
      <c r="R120" s="12">
        <v>8.0000000000000004E-4</v>
      </c>
      <c r="S120" s="11" t="s">
        <v>122</v>
      </c>
      <c r="T120" s="11" t="s">
        <v>122</v>
      </c>
      <c r="U120" s="31">
        <f t="shared" si="2"/>
        <v>6288572</v>
      </c>
      <c r="V120" s="31">
        <v>3705215</v>
      </c>
      <c r="W120" s="31">
        <v>0</v>
      </c>
      <c r="X120" s="31">
        <v>0</v>
      </c>
      <c r="Y120" s="31">
        <v>596252</v>
      </c>
      <c r="Z120" s="31">
        <f>522478+1143000</f>
        <v>1665478</v>
      </c>
      <c r="AA120" s="31">
        <v>185331</v>
      </c>
      <c r="AB120" s="31">
        <v>0</v>
      </c>
      <c r="AC120" s="31">
        <v>0</v>
      </c>
      <c r="AD120" s="31">
        <v>32400</v>
      </c>
      <c r="AE120" s="35">
        <v>12000</v>
      </c>
      <c r="AF120" s="31">
        <v>15910</v>
      </c>
      <c r="AG120" s="31">
        <v>0</v>
      </c>
      <c r="AH120" s="31">
        <v>75986</v>
      </c>
      <c r="AI120" s="12">
        <v>1.1220755547939588E-2</v>
      </c>
      <c r="AJ120" s="12">
        <v>1.9699999999999999E-2</v>
      </c>
      <c r="AK120" s="31">
        <v>0</v>
      </c>
    </row>
    <row r="121" spans="1:37">
      <c r="A121" s="10" t="s">
        <v>322</v>
      </c>
      <c r="B121" s="11" t="s">
        <v>323</v>
      </c>
      <c r="C121" s="11" t="s">
        <v>315</v>
      </c>
      <c r="D121" s="98" t="s">
        <v>43</v>
      </c>
      <c r="E121" s="98" t="s">
        <v>44</v>
      </c>
      <c r="F121" s="98" t="s">
        <v>1348</v>
      </c>
      <c r="G121" s="98" t="s">
        <v>48</v>
      </c>
      <c r="H121" s="98" t="s">
        <v>45</v>
      </c>
      <c r="I121" s="11" t="s">
        <v>46</v>
      </c>
      <c r="J121" s="31">
        <v>4449700090</v>
      </c>
      <c r="K121" s="31" t="s">
        <v>122</v>
      </c>
      <c r="L121" s="11" t="s">
        <v>122</v>
      </c>
      <c r="M121" s="12">
        <v>8.0971853729414622E-2</v>
      </c>
      <c r="N121" s="12">
        <v>0.1002589568249521</v>
      </c>
      <c r="O121" s="211">
        <v>2.5000000000000001E-2</v>
      </c>
      <c r="P121" s="210">
        <v>0</v>
      </c>
      <c r="Q121" s="20" t="s">
        <v>122</v>
      </c>
      <c r="R121" s="12">
        <v>8.0000000000000004E-4</v>
      </c>
      <c r="S121" s="11" t="s">
        <v>122</v>
      </c>
      <c r="T121" s="11" t="s">
        <v>122</v>
      </c>
      <c r="U121" s="31">
        <f t="shared" si="2"/>
        <v>77409886</v>
      </c>
      <c r="V121" s="31">
        <v>70730409</v>
      </c>
      <c r="W121" s="31">
        <v>0</v>
      </c>
      <c r="X121" s="31">
        <v>0</v>
      </c>
      <c r="Y121" s="31">
        <v>3539257</v>
      </c>
      <c r="Z121" s="31">
        <f>522478+1143000</f>
        <v>1665478</v>
      </c>
      <c r="AA121" s="31">
        <v>1100461</v>
      </c>
      <c r="AB121" s="31">
        <v>0</v>
      </c>
      <c r="AC121" s="31">
        <v>0</v>
      </c>
      <c r="AD121" s="31">
        <v>52200</v>
      </c>
      <c r="AE121" s="35">
        <v>0</v>
      </c>
      <c r="AF121" s="31">
        <v>18300</v>
      </c>
      <c r="AG121" s="31">
        <v>0</v>
      </c>
      <c r="AH121" s="31">
        <v>303781</v>
      </c>
      <c r="AI121" s="11" t="s">
        <v>122</v>
      </c>
      <c r="AJ121" s="12">
        <v>1.7399999999999999E-2</v>
      </c>
      <c r="AK121" s="31">
        <v>0</v>
      </c>
    </row>
    <row r="122" spans="1:37">
      <c r="A122" s="10" t="s">
        <v>324</v>
      </c>
      <c r="B122" s="11" t="s">
        <v>325</v>
      </c>
      <c r="C122" s="11" t="s">
        <v>315</v>
      </c>
      <c r="D122" s="98" t="s">
        <v>43</v>
      </c>
      <c r="E122" s="98" t="s">
        <v>44</v>
      </c>
      <c r="F122" s="98" t="s">
        <v>55</v>
      </c>
      <c r="G122" s="98" t="s">
        <v>56</v>
      </c>
      <c r="H122" s="98" t="s">
        <v>45</v>
      </c>
      <c r="I122" s="11" t="s">
        <v>46</v>
      </c>
      <c r="J122" s="31">
        <v>854703905</v>
      </c>
      <c r="K122" s="31" t="s">
        <v>122</v>
      </c>
      <c r="L122" s="11" t="s">
        <v>122</v>
      </c>
      <c r="M122" s="12">
        <v>3.1011198811120355E-2</v>
      </c>
      <c r="N122" s="12">
        <v>4.0877143660388082E-2</v>
      </c>
      <c r="O122" s="211">
        <v>2.5000000000000001E-2</v>
      </c>
      <c r="P122" s="210">
        <v>0</v>
      </c>
      <c r="Q122" s="20" t="s">
        <v>122</v>
      </c>
      <c r="R122" s="12">
        <v>1.1999999999999999E-3</v>
      </c>
      <c r="S122" s="11" t="s">
        <v>122</v>
      </c>
      <c r="T122" s="11" t="s">
        <v>122</v>
      </c>
      <c r="U122" s="31">
        <f t="shared" si="2"/>
        <v>7282430</v>
      </c>
      <c r="V122" s="31">
        <v>4282084</v>
      </c>
      <c r="W122" s="31">
        <v>0</v>
      </c>
      <c r="X122" s="31">
        <v>0</v>
      </c>
      <c r="Y122" s="31">
        <v>1044410</v>
      </c>
      <c r="Z122" s="31">
        <f>522478+1143000</f>
        <v>1665478</v>
      </c>
      <c r="AA122" s="31">
        <v>214622</v>
      </c>
      <c r="AB122" s="31">
        <v>0</v>
      </c>
      <c r="AC122" s="31">
        <v>0</v>
      </c>
      <c r="AD122" s="31">
        <v>0</v>
      </c>
      <c r="AE122" s="35">
        <v>0</v>
      </c>
      <c r="AF122" s="31">
        <v>15972</v>
      </c>
      <c r="AG122" s="31">
        <v>0</v>
      </c>
      <c r="AH122" s="31">
        <v>59864</v>
      </c>
      <c r="AI122" s="12">
        <v>1.3348163249352099E-2</v>
      </c>
      <c r="AJ122" s="12">
        <v>2.2599999999999999E-2</v>
      </c>
      <c r="AK122" s="31">
        <v>0</v>
      </c>
    </row>
    <row r="123" spans="1:37">
      <c r="A123" s="10" t="s">
        <v>326</v>
      </c>
      <c r="B123" s="11" t="s">
        <v>327</v>
      </c>
      <c r="C123" s="11" t="s">
        <v>315</v>
      </c>
      <c r="D123" s="98" t="s">
        <v>43</v>
      </c>
      <c r="E123" s="98" t="s">
        <v>44</v>
      </c>
      <c r="F123" s="98" t="s">
        <v>1348</v>
      </c>
      <c r="G123" s="98" t="s">
        <v>58</v>
      </c>
      <c r="H123" s="98" t="s">
        <v>62</v>
      </c>
      <c r="I123" s="11" t="s">
        <v>46</v>
      </c>
      <c r="J123" s="31">
        <v>1302042791</v>
      </c>
      <c r="K123" s="31" t="s">
        <v>122</v>
      </c>
      <c r="L123" s="11" t="s">
        <v>122</v>
      </c>
      <c r="M123" s="12">
        <v>-4.8928201363042989E-2</v>
      </c>
      <c r="N123" s="12">
        <v>-5.6205423222349449E-2</v>
      </c>
      <c r="O123" s="211">
        <v>2.5000000000000001E-2</v>
      </c>
      <c r="P123" s="210">
        <v>0</v>
      </c>
      <c r="Q123" s="20" t="s">
        <v>122</v>
      </c>
      <c r="R123" s="12">
        <v>2E-3</v>
      </c>
      <c r="S123" s="11" t="s">
        <v>122</v>
      </c>
      <c r="T123" s="11" t="s">
        <v>122</v>
      </c>
      <c r="U123" s="31">
        <f t="shared" si="2"/>
        <v>38268582</v>
      </c>
      <c r="V123" s="31">
        <v>28569281</v>
      </c>
      <c r="W123" s="31">
        <v>0</v>
      </c>
      <c r="X123" s="31">
        <v>0</v>
      </c>
      <c r="Y123" s="31">
        <v>2613768</v>
      </c>
      <c r="Z123" s="31">
        <f>522478+1143000</f>
        <v>1665478</v>
      </c>
      <c r="AA123" s="31">
        <v>325166</v>
      </c>
      <c r="AB123" s="31">
        <v>0</v>
      </c>
      <c r="AC123" s="31">
        <v>0</v>
      </c>
      <c r="AD123" s="31">
        <v>1802111</v>
      </c>
      <c r="AE123" s="35">
        <v>0</v>
      </c>
      <c r="AF123" s="31">
        <v>973904</v>
      </c>
      <c r="AG123" s="31">
        <v>0</v>
      </c>
      <c r="AH123" s="35">
        <v>2318874</v>
      </c>
      <c r="AI123" s="11" t="s">
        <v>122</v>
      </c>
      <c r="AJ123" s="12">
        <v>2.9399999999999999E-2</v>
      </c>
      <c r="AK123" s="31">
        <v>0</v>
      </c>
    </row>
    <row r="124" spans="1:37">
      <c r="A124" s="10" t="s">
        <v>328</v>
      </c>
      <c r="B124" s="11" t="s">
        <v>329</v>
      </c>
      <c r="C124" s="11" t="s">
        <v>315</v>
      </c>
      <c r="D124" s="98" t="s">
        <v>43</v>
      </c>
      <c r="E124" s="98" t="s">
        <v>44</v>
      </c>
      <c r="F124" s="98" t="s">
        <v>55</v>
      </c>
      <c r="G124" s="98" t="s">
        <v>58</v>
      </c>
      <c r="H124" s="98" t="s">
        <v>62</v>
      </c>
      <c r="I124" s="11" t="s">
        <v>46</v>
      </c>
      <c r="J124" s="31">
        <v>1878084316</v>
      </c>
      <c r="K124" s="31" t="s">
        <v>122</v>
      </c>
      <c r="L124" s="11" t="s">
        <v>122</v>
      </c>
      <c r="M124" s="12">
        <v>0.24685271848138512</v>
      </c>
      <c r="N124" s="12">
        <v>0.2215634253973853</v>
      </c>
      <c r="O124" s="211">
        <v>2.5000000000000001E-2</v>
      </c>
      <c r="P124" s="210">
        <v>0</v>
      </c>
      <c r="Q124" s="20" t="s">
        <v>122</v>
      </c>
      <c r="R124" s="12">
        <v>1.5E-3</v>
      </c>
      <c r="S124" s="11" t="s">
        <v>122</v>
      </c>
      <c r="T124" s="11" t="s">
        <v>122</v>
      </c>
      <c r="U124" s="31">
        <f t="shared" si="2"/>
        <v>51089260</v>
      </c>
      <c r="V124" s="31">
        <v>41393671</v>
      </c>
      <c r="W124" s="31">
        <v>0</v>
      </c>
      <c r="X124" s="31">
        <v>0</v>
      </c>
      <c r="Y124" s="31">
        <v>2821333</v>
      </c>
      <c r="Z124" s="31">
        <f>522478+1143000</f>
        <v>1665478</v>
      </c>
      <c r="AA124" s="31">
        <v>467076</v>
      </c>
      <c r="AB124" s="31">
        <v>0</v>
      </c>
      <c r="AC124" s="31">
        <v>0</v>
      </c>
      <c r="AD124" s="31">
        <v>2437240</v>
      </c>
      <c r="AE124" s="35">
        <v>763911</v>
      </c>
      <c r="AF124" s="31">
        <v>932893</v>
      </c>
      <c r="AG124" s="31">
        <v>0</v>
      </c>
      <c r="AH124" s="31">
        <v>607658</v>
      </c>
      <c r="AI124" s="12">
        <v>2.4748448000000002E-3</v>
      </c>
      <c r="AJ124" s="12">
        <v>2.87E-2</v>
      </c>
      <c r="AK124" s="31">
        <v>0</v>
      </c>
    </row>
    <row r="125" spans="1:37">
      <c r="A125" s="10" t="s">
        <v>330</v>
      </c>
      <c r="B125" s="11" t="s">
        <v>331</v>
      </c>
      <c r="C125" s="11" t="s">
        <v>315</v>
      </c>
      <c r="D125" s="98" t="s">
        <v>43</v>
      </c>
      <c r="E125" s="98" t="s">
        <v>44</v>
      </c>
      <c r="F125" s="98" t="s">
        <v>1349</v>
      </c>
      <c r="G125" s="98" t="s">
        <v>58</v>
      </c>
      <c r="H125" s="98" t="s">
        <v>45</v>
      </c>
      <c r="I125" s="11" t="s">
        <v>46</v>
      </c>
      <c r="J125" s="31">
        <v>1142755728</v>
      </c>
      <c r="K125" s="31" t="s">
        <v>122</v>
      </c>
      <c r="L125" s="11" t="s">
        <v>122</v>
      </c>
      <c r="M125" s="12">
        <v>-1.5747837890011107E-3</v>
      </c>
      <c r="N125" s="12">
        <v>2.1508595074065218E-2</v>
      </c>
      <c r="O125" s="211">
        <v>2.5000000000000001E-2</v>
      </c>
      <c r="P125" s="210">
        <v>0</v>
      </c>
      <c r="Q125" s="20" t="s">
        <v>122</v>
      </c>
      <c r="R125" s="12">
        <v>2E-3</v>
      </c>
      <c r="S125" s="11" t="s">
        <v>122</v>
      </c>
      <c r="T125" s="11" t="s">
        <v>122</v>
      </c>
      <c r="U125" s="31">
        <f t="shared" si="2"/>
        <v>33130672</v>
      </c>
      <c r="V125" s="31">
        <v>25132249</v>
      </c>
      <c r="W125" s="31">
        <v>0</v>
      </c>
      <c r="X125" s="31">
        <v>0</v>
      </c>
      <c r="Y125" s="31">
        <v>2299409</v>
      </c>
      <c r="Z125" s="31">
        <f>914337+1143000</f>
        <v>2057337</v>
      </c>
      <c r="AA125" s="31">
        <v>285841</v>
      </c>
      <c r="AB125" s="31">
        <v>0</v>
      </c>
      <c r="AC125" s="31">
        <v>0</v>
      </c>
      <c r="AD125" s="31">
        <v>1770625</v>
      </c>
      <c r="AE125" s="35">
        <v>0</v>
      </c>
      <c r="AF125" s="31">
        <v>1386031</v>
      </c>
      <c r="AG125" s="31">
        <v>0</v>
      </c>
      <c r="AH125" s="31">
        <v>199180</v>
      </c>
      <c r="AI125" s="11" t="s">
        <v>122</v>
      </c>
      <c r="AJ125" s="12">
        <v>2.9000000000000001E-2</v>
      </c>
      <c r="AK125" s="31">
        <v>0</v>
      </c>
    </row>
    <row r="126" spans="1:37">
      <c r="A126" s="10" t="s">
        <v>332</v>
      </c>
      <c r="B126" s="11" t="s">
        <v>333</v>
      </c>
      <c r="C126" s="11" t="s">
        <v>315</v>
      </c>
      <c r="D126" s="98" t="s">
        <v>43</v>
      </c>
      <c r="E126" s="98" t="s">
        <v>44</v>
      </c>
      <c r="F126" s="98" t="s">
        <v>55</v>
      </c>
      <c r="G126" s="98" t="s">
        <v>58</v>
      </c>
      <c r="H126" s="98" t="s">
        <v>62</v>
      </c>
      <c r="I126" s="11" t="s">
        <v>46</v>
      </c>
      <c r="J126" s="31">
        <v>2413838563</v>
      </c>
      <c r="K126" s="31" t="s">
        <v>122</v>
      </c>
      <c r="L126" s="11" t="s">
        <v>122</v>
      </c>
      <c r="M126" s="12">
        <v>-3.7677762719271479E-2</v>
      </c>
      <c r="N126" s="12">
        <v>-4.0116957135651665E-2</v>
      </c>
      <c r="O126" s="211">
        <v>2.5000000000000001E-2</v>
      </c>
      <c r="P126" s="210">
        <v>0</v>
      </c>
      <c r="Q126" s="20" t="s">
        <v>122</v>
      </c>
      <c r="R126" s="12">
        <v>8.0000000000000004E-4</v>
      </c>
      <c r="S126" s="11" t="s">
        <v>122</v>
      </c>
      <c r="T126" s="11" t="s">
        <v>122</v>
      </c>
      <c r="U126" s="31">
        <f t="shared" si="2"/>
        <v>60853620</v>
      </c>
      <c r="V126" s="31">
        <v>53072548</v>
      </c>
      <c r="W126" s="31">
        <v>0</v>
      </c>
      <c r="X126" s="31">
        <v>0</v>
      </c>
      <c r="Y126" s="31">
        <v>1941634</v>
      </c>
      <c r="Z126" s="31">
        <f>522478+1143000</f>
        <v>1665478</v>
      </c>
      <c r="AA126" s="31">
        <v>603840</v>
      </c>
      <c r="AB126" s="31">
        <v>0</v>
      </c>
      <c r="AC126" s="31">
        <v>0</v>
      </c>
      <c r="AD126" s="31">
        <v>1011003</v>
      </c>
      <c r="AE126" s="35">
        <v>607942</v>
      </c>
      <c r="AF126" s="31">
        <v>1311006</v>
      </c>
      <c r="AG126" s="31">
        <v>0</v>
      </c>
      <c r="AH126" s="31">
        <v>640169</v>
      </c>
      <c r="AI126" s="12">
        <v>1.3472058782054801E-3</v>
      </c>
      <c r="AJ126" s="12">
        <v>2.6800000000000001E-2</v>
      </c>
      <c r="AK126" s="31">
        <v>0</v>
      </c>
    </row>
    <row r="127" spans="1:37">
      <c r="A127" s="10" t="s">
        <v>334</v>
      </c>
      <c r="B127" s="11" t="s">
        <v>335</v>
      </c>
      <c r="C127" s="11" t="s">
        <v>315</v>
      </c>
      <c r="D127" s="98" t="s">
        <v>43</v>
      </c>
      <c r="E127" s="98" t="s">
        <v>44</v>
      </c>
      <c r="F127" s="98" t="s">
        <v>55</v>
      </c>
      <c r="G127" s="98" t="s">
        <v>666</v>
      </c>
      <c r="H127" s="98" t="s">
        <v>62</v>
      </c>
      <c r="I127" s="11" t="s">
        <v>46</v>
      </c>
      <c r="J127" s="31">
        <v>3328864240</v>
      </c>
      <c r="K127" s="31" t="s">
        <v>122</v>
      </c>
      <c r="L127" s="11" t="s">
        <v>122</v>
      </c>
      <c r="M127" s="12">
        <v>-5.5608371964823822E-2</v>
      </c>
      <c r="N127" s="12">
        <v>-5.4289115112551078E-2</v>
      </c>
      <c r="O127" s="211">
        <v>2.5000000000000001E-2</v>
      </c>
      <c r="P127" s="210">
        <v>0</v>
      </c>
      <c r="Q127" s="20" t="s">
        <v>122</v>
      </c>
      <c r="R127" s="12">
        <v>8.0000000000000004E-4</v>
      </c>
      <c r="S127" s="11" t="s">
        <v>122</v>
      </c>
      <c r="T127" s="11" t="s">
        <v>122</v>
      </c>
      <c r="U127" s="31">
        <f t="shared" si="2"/>
        <v>86448884</v>
      </c>
      <c r="V127" s="31">
        <v>73183620</v>
      </c>
      <c r="W127" s="31">
        <v>0</v>
      </c>
      <c r="X127" s="31">
        <v>0</v>
      </c>
      <c r="Y127" s="31">
        <v>2683990</v>
      </c>
      <c r="Z127" s="31">
        <f>522478+1143000</f>
        <v>1665478</v>
      </c>
      <c r="AA127" s="31">
        <v>835339</v>
      </c>
      <c r="AB127" s="31">
        <v>0</v>
      </c>
      <c r="AC127" s="31">
        <v>0</v>
      </c>
      <c r="AD127" s="31">
        <v>2397434</v>
      </c>
      <c r="AE127" s="35">
        <v>2264847</v>
      </c>
      <c r="AF127" s="31">
        <v>2171351</v>
      </c>
      <c r="AG127" s="31">
        <v>0</v>
      </c>
      <c r="AH127" s="31">
        <v>1246825</v>
      </c>
      <c r="AI127" s="12">
        <v>8.3649291087681803E-3</v>
      </c>
      <c r="AJ127" s="12">
        <v>3.2899999999999999E-2</v>
      </c>
      <c r="AK127" s="31">
        <v>0</v>
      </c>
    </row>
    <row r="128" spans="1:37">
      <c r="A128" s="10" t="s">
        <v>336</v>
      </c>
      <c r="B128" s="11" t="s">
        <v>337</v>
      </c>
      <c r="C128" s="11" t="s">
        <v>315</v>
      </c>
      <c r="D128" s="98" t="s">
        <v>43</v>
      </c>
      <c r="E128" s="11" t="s">
        <v>621</v>
      </c>
      <c r="F128" s="98" t="s">
        <v>884</v>
      </c>
      <c r="G128" s="98" t="s">
        <v>622</v>
      </c>
      <c r="H128" s="98" t="s">
        <v>62</v>
      </c>
      <c r="I128" s="11" t="s">
        <v>46</v>
      </c>
      <c r="J128" s="31">
        <v>7302841726</v>
      </c>
      <c r="K128" s="31">
        <v>0.06</v>
      </c>
      <c r="L128" s="16">
        <v>41639</v>
      </c>
      <c r="M128" s="12">
        <v>5.7999999999999996E-3</v>
      </c>
      <c r="N128" s="12" t="s">
        <v>122</v>
      </c>
      <c r="O128" s="211">
        <v>0.05</v>
      </c>
      <c r="P128" s="210">
        <v>0</v>
      </c>
      <c r="Q128" s="20" t="s">
        <v>122</v>
      </c>
      <c r="R128" s="12">
        <v>8.0000000000000004E-4</v>
      </c>
      <c r="S128" s="11" t="s">
        <v>122</v>
      </c>
      <c r="T128" s="11" t="s">
        <v>122</v>
      </c>
      <c r="U128" s="31">
        <f t="shared" si="2"/>
        <v>82548138</v>
      </c>
      <c r="V128" s="31">
        <v>73038455</v>
      </c>
      <c r="W128" s="31">
        <v>0</v>
      </c>
      <c r="X128" s="31">
        <v>0</v>
      </c>
      <c r="Y128" s="31">
        <v>5874782</v>
      </c>
      <c r="Z128" s="31">
        <f>522478+1270000</f>
        <v>1792478</v>
      </c>
      <c r="AA128" s="31">
        <v>1825983</v>
      </c>
      <c r="AB128" s="31">
        <v>0</v>
      </c>
      <c r="AC128" s="31">
        <v>0</v>
      </c>
      <c r="AD128" s="31">
        <v>0</v>
      </c>
      <c r="AE128" s="35">
        <v>0</v>
      </c>
      <c r="AF128" s="31">
        <v>16440</v>
      </c>
      <c r="AG128" s="31">
        <v>0</v>
      </c>
      <c r="AH128" s="31">
        <v>0</v>
      </c>
      <c r="AI128" s="12" t="s">
        <v>122</v>
      </c>
      <c r="AJ128" s="12">
        <v>1.1299999999999999E-2</v>
      </c>
      <c r="AK128" s="31">
        <v>0</v>
      </c>
    </row>
    <row r="129" spans="1:37">
      <c r="A129" s="10" t="s">
        <v>338</v>
      </c>
      <c r="B129" s="11" t="s">
        <v>339</v>
      </c>
      <c r="C129" s="11" t="s">
        <v>315</v>
      </c>
      <c r="D129" s="98" t="s">
        <v>43</v>
      </c>
      <c r="E129" s="11" t="s">
        <v>621</v>
      </c>
      <c r="F129" s="98" t="s">
        <v>884</v>
      </c>
      <c r="G129" s="98" t="s">
        <v>622</v>
      </c>
      <c r="H129" s="98" t="s">
        <v>62</v>
      </c>
      <c r="I129" s="11" t="s">
        <v>46</v>
      </c>
      <c r="J129" s="31">
        <v>3020225568</v>
      </c>
      <c r="K129" s="31" t="s">
        <v>122</v>
      </c>
      <c r="L129" s="11" t="s">
        <v>122</v>
      </c>
      <c r="M129" s="12">
        <v>0.17449999999999999</v>
      </c>
      <c r="N129" s="12" t="s">
        <v>122</v>
      </c>
      <c r="O129" s="211">
        <v>0.05</v>
      </c>
      <c r="P129" s="210">
        <v>0</v>
      </c>
      <c r="Q129" s="20" t="s">
        <v>122</v>
      </c>
      <c r="R129" s="12">
        <v>8.0000000000000004E-4</v>
      </c>
      <c r="S129" s="17" t="s">
        <v>122</v>
      </c>
      <c r="T129" s="17" t="s">
        <v>122</v>
      </c>
      <c r="U129" s="31">
        <f t="shared" si="2"/>
        <v>57882582</v>
      </c>
      <c r="V129" s="31">
        <v>52877422</v>
      </c>
      <c r="W129" s="31">
        <v>0</v>
      </c>
      <c r="X129" s="31">
        <v>0</v>
      </c>
      <c r="Y129" s="31">
        <v>2429286</v>
      </c>
      <c r="Z129" s="31">
        <f>522478+1282700</f>
        <v>1805178</v>
      </c>
      <c r="AA129" s="31">
        <v>754738</v>
      </c>
      <c r="AB129" s="31">
        <v>0</v>
      </c>
      <c r="AC129" s="31">
        <v>0</v>
      </c>
      <c r="AD129" s="31">
        <v>0</v>
      </c>
      <c r="AE129" s="35">
        <v>0</v>
      </c>
      <c r="AF129" s="31">
        <v>15958</v>
      </c>
      <c r="AG129" s="31">
        <v>0</v>
      </c>
      <c r="AH129" s="31">
        <v>0</v>
      </c>
      <c r="AI129" s="12" t="s">
        <v>122</v>
      </c>
      <c r="AJ129" s="12">
        <v>1.9199999999999998E-2</v>
      </c>
      <c r="AK129" s="31">
        <v>0</v>
      </c>
    </row>
    <row r="130" spans="1:37">
      <c r="A130" s="14" t="s">
        <v>340</v>
      </c>
      <c r="B130" s="13" t="s">
        <v>341</v>
      </c>
      <c r="C130" s="11" t="s">
        <v>315</v>
      </c>
      <c r="D130" s="98" t="s">
        <v>43</v>
      </c>
      <c r="E130" s="11" t="s">
        <v>621</v>
      </c>
      <c r="F130" s="98" t="s">
        <v>884</v>
      </c>
      <c r="G130" s="98" t="s">
        <v>622</v>
      </c>
      <c r="H130" s="98" t="s">
        <v>62</v>
      </c>
      <c r="I130" s="13" t="s">
        <v>69</v>
      </c>
      <c r="J130" s="32">
        <v>19206137.527886182</v>
      </c>
      <c r="K130" s="33">
        <v>0.01</v>
      </c>
      <c r="L130" s="18">
        <v>41582</v>
      </c>
      <c r="M130" s="19">
        <v>4.7800000000000002E-2</v>
      </c>
      <c r="N130" s="19" t="s">
        <v>122</v>
      </c>
      <c r="O130" s="212">
        <v>0.05</v>
      </c>
      <c r="P130" s="213">
        <v>0</v>
      </c>
      <c r="Q130" s="214" t="s">
        <v>122</v>
      </c>
      <c r="R130" s="19">
        <v>5.0000000000000001E-4</v>
      </c>
      <c r="S130" s="13" t="s">
        <v>122</v>
      </c>
      <c r="T130" s="13" t="s">
        <v>122</v>
      </c>
      <c r="U130" s="31">
        <f t="shared" si="2"/>
        <v>23247972</v>
      </c>
      <c r="V130" s="33">
        <v>17175287</v>
      </c>
      <c r="W130" s="33">
        <v>0</v>
      </c>
      <c r="X130" s="33">
        <v>0</v>
      </c>
      <c r="Y130" s="33">
        <v>2884565</v>
      </c>
      <c r="Z130" s="33">
        <f>520682+1199965</f>
        <v>1720647</v>
      </c>
      <c r="AA130" s="33">
        <v>1434514</v>
      </c>
      <c r="AB130" s="33">
        <v>0</v>
      </c>
      <c r="AC130" s="31">
        <v>0</v>
      </c>
      <c r="AD130" s="33">
        <v>0</v>
      </c>
      <c r="AE130" s="37">
        <v>0</v>
      </c>
      <c r="AF130" s="33">
        <v>32959</v>
      </c>
      <c r="AG130" s="33">
        <v>0</v>
      </c>
      <c r="AH130" s="33">
        <v>0</v>
      </c>
      <c r="AI130" s="19" t="s">
        <v>122</v>
      </c>
      <c r="AJ130" s="19">
        <v>3.3E-3</v>
      </c>
      <c r="AK130" s="33">
        <v>0</v>
      </c>
    </row>
    <row r="131" spans="1:37">
      <c r="A131" s="10" t="s">
        <v>342</v>
      </c>
      <c r="B131" s="11" t="s">
        <v>343</v>
      </c>
      <c r="C131" s="11" t="s">
        <v>315</v>
      </c>
      <c r="D131" s="98" t="s">
        <v>43</v>
      </c>
      <c r="E131" s="11" t="s">
        <v>621</v>
      </c>
      <c r="F131" s="98" t="s">
        <v>884</v>
      </c>
      <c r="G131" s="98" t="s">
        <v>622</v>
      </c>
      <c r="H131" s="98" t="s">
        <v>62</v>
      </c>
      <c r="I131" s="11" t="s">
        <v>46</v>
      </c>
      <c r="J131" s="31">
        <v>2309484440</v>
      </c>
      <c r="K131" s="31">
        <v>0.01</v>
      </c>
      <c r="L131" s="16">
        <v>41582</v>
      </c>
      <c r="M131" s="12">
        <v>8.6800000000000002E-2</v>
      </c>
      <c r="N131" s="12" t="s">
        <v>122</v>
      </c>
      <c r="O131" s="211">
        <v>0.05</v>
      </c>
      <c r="P131" s="210">
        <v>0</v>
      </c>
      <c r="Q131" s="20" t="s">
        <v>122</v>
      </c>
      <c r="R131" s="12">
        <v>5.0000000000000001E-4</v>
      </c>
      <c r="S131" s="11" t="s">
        <v>122</v>
      </c>
      <c r="T131" s="11" t="s">
        <v>122</v>
      </c>
      <c r="U131" s="31">
        <f t="shared" si="2"/>
        <v>21896922</v>
      </c>
      <c r="V131" s="31">
        <v>18477677</v>
      </c>
      <c r="W131" s="31">
        <v>0</v>
      </c>
      <c r="X131" s="31">
        <v>0</v>
      </c>
      <c r="Y131" s="31">
        <v>1160660</v>
      </c>
      <c r="Z131" s="31">
        <f>522478+1143000</f>
        <v>1665478</v>
      </c>
      <c r="AA131" s="31">
        <v>577176</v>
      </c>
      <c r="AB131" s="31">
        <v>0</v>
      </c>
      <c r="AC131" s="31">
        <v>0</v>
      </c>
      <c r="AD131" s="31">
        <v>0</v>
      </c>
      <c r="AE131" s="35">
        <v>0</v>
      </c>
      <c r="AF131" s="31">
        <v>15931</v>
      </c>
      <c r="AG131" s="31">
        <v>0</v>
      </c>
      <c r="AH131" s="31">
        <v>0</v>
      </c>
      <c r="AI131" s="12" t="s">
        <v>122</v>
      </c>
      <c r="AJ131" s="12">
        <v>9.4999999999999998E-3</v>
      </c>
      <c r="AK131" s="31">
        <v>0</v>
      </c>
    </row>
    <row r="132" spans="1:37">
      <c r="A132" s="10" t="s">
        <v>344</v>
      </c>
      <c r="B132" s="11" t="s">
        <v>345</v>
      </c>
      <c r="C132" s="11" t="s">
        <v>315</v>
      </c>
      <c r="D132" s="98" t="s">
        <v>43</v>
      </c>
      <c r="E132" s="11" t="s">
        <v>621</v>
      </c>
      <c r="F132" s="98" t="s">
        <v>884</v>
      </c>
      <c r="G132" s="98" t="s">
        <v>622</v>
      </c>
      <c r="H132" s="98" t="s">
        <v>62</v>
      </c>
      <c r="I132" s="11" t="s">
        <v>46</v>
      </c>
      <c r="J132" s="31">
        <v>2036022441</v>
      </c>
      <c r="K132" s="31">
        <v>0.13783026690852557</v>
      </c>
      <c r="L132" s="16">
        <v>41582</v>
      </c>
      <c r="M132" s="12">
        <v>3.4200000000000001E-2</v>
      </c>
      <c r="N132" s="12" t="s">
        <v>122</v>
      </c>
      <c r="O132" s="211">
        <v>0.05</v>
      </c>
      <c r="P132" s="210">
        <v>0</v>
      </c>
      <c r="Q132" s="20" t="s">
        <v>122</v>
      </c>
      <c r="R132" s="12">
        <v>5.0000000000000001E-4</v>
      </c>
      <c r="S132" s="11" t="s">
        <v>122</v>
      </c>
      <c r="T132" s="11" t="s">
        <v>122</v>
      </c>
      <c r="U132" s="31">
        <f t="shared" si="2"/>
        <v>35774903</v>
      </c>
      <c r="V132" s="31">
        <v>32562812</v>
      </c>
      <c r="W132" s="31">
        <v>0</v>
      </c>
      <c r="X132" s="31">
        <v>0</v>
      </c>
      <c r="Y132" s="31">
        <v>1022008</v>
      </c>
      <c r="Z132" s="31">
        <f>522478+1143000</f>
        <v>1665478</v>
      </c>
      <c r="AA132" s="31">
        <v>508682</v>
      </c>
      <c r="AB132" s="31">
        <v>0</v>
      </c>
      <c r="AC132" s="31">
        <v>0</v>
      </c>
      <c r="AD132" s="31">
        <v>0</v>
      </c>
      <c r="AE132" s="35">
        <v>0</v>
      </c>
      <c r="AF132" s="31">
        <v>15923</v>
      </c>
      <c r="AG132" s="31">
        <v>0</v>
      </c>
      <c r="AH132" s="31">
        <v>0</v>
      </c>
      <c r="AI132" s="12" t="s">
        <v>122</v>
      </c>
      <c r="AJ132" s="12">
        <v>1.7600000000000001E-2</v>
      </c>
      <c r="AK132" s="31">
        <v>0</v>
      </c>
    </row>
    <row r="133" spans="1:37" ht="25.5">
      <c r="A133" s="253" t="s">
        <v>346</v>
      </c>
      <c r="B133" s="254" t="s">
        <v>347</v>
      </c>
      <c r="C133" s="254" t="s">
        <v>348</v>
      </c>
      <c r="D133" s="255" t="s">
        <v>43</v>
      </c>
      <c r="E133" s="255" t="s">
        <v>44</v>
      </c>
      <c r="F133" s="255" t="s">
        <v>884</v>
      </c>
      <c r="G133" s="255" t="s">
        <v>97</v>
      </c>
      <c r="H133" s="255" t="s">
        <v>45</v>
      </c>
      <c r="I133" s="255" t="s">
        <v>46</v>
      </c>
      <c r="J133" s="180">
        <v>20826454703.490799</v>
      </c>
      <c r="K133" s="180"/>
      <c r="L133" s="128"/>
      <c r="M133" s="129">
        <v>0.1152</v>
      </c>
      <c r="N133" s="129">
        <v>5.7099999999999998E-2</v>
      </c>
      <c r="O133" s="250" t="s">
        <v>349</v>
      </c>
      <c r="P133" s="250" t="s">
        <v>350</v>
      </c>
      <c r="Q133" s="250" t="s">
        <v>108</v>
      </c>
      <c r="R133" s="129" t="s">
        <v>351</v>
      </c>
      <c r="S133" s="129" t="s">
        <v>352</v>
      </c>
      <c r="T133" s="129" t="s">
        <v>353</v>
      </c>
      <c r="U133" s="180">
        <f>SUM(V133:AH133)</f>
        <v>660428112.51999998</v>
      </c>
      <c r="V133" s="180">
        <v>234640593</v>
      </c>
      <c r="W133" s="180">
        <v>298596161</v>
      </c>
      <c r="X133" s="180">
        <v>104263246</v>
      </c>
      <c r="Y133" s="180">
        <v>11803727</v>
      </c>
      <c r="Z133" s="180">
        <v>1047988</v>
      </c>
      <c r="AA133" s="180">
        <v>5219000</v>
      </c>
      <c r="AB133" s="180"/>
      <c r="AC133" s="180"/>
      <c r="AD133" s="180">
        <v>833979</v>
      </c>
      <c r="AE133" s="180"/>
      <c r="AF133" s="180">
        <v>13042.520000000019</v>
      </c>
      <c r="AG133" s="180"/>
      <c r="AH133" s="180">
        <v>4010376</v>
      </c>
      <c r="AI133" s="128"/>
      <c r="AJ133" s="129">
        <v>1.7083238967047734E-2</v>
      </c>
      <c r="AK133" s="180">
        <v>0</v>
      </c>
    </row>
    <row r="134" spans="1:37">
      <c r="A134" s="253" t="s">
        <v>354</v>
      </c>
      <c r="B134" s="254" t="s">
        <v>355</v>
      </c>
      <c r="C134" s="254" t="s">
        <v>348</v>
      </c>
      <c r="D134" s="255" t="s">
        <v>43</v>
      </c>
      <c r="E134" s="255" t="s">
        <v>44</v>
      </c>
      <c r="F134" s="255" t="s">
        <v>1348</v>
      </c>
      <c r="G134" s="255" t="s">
        <v>61</v>
      </c>
      <c r="H134" s="255" t="s">
        <v>45</v>
      </c>
      <c r="I134" s="255" t="s">
        <v>46</v>
      </c>
      <c r="J134" s="180">
        <v>7324973772.1498699</v>
      </c>
      <c r="K134" s="180"/>
      <c r="L134" s="128"/>
      <c r="M134" s="129">
        <v>0.14580000000000001</v>
      </c>
      <c r="N134" s="129">
        <v>3.0299999999999997E-2</v>
      </c>
      <c r="O134" s="250" t="s">
        <v>349</v>
      </c>
      <c r="P134" s="250" t="s">
        <v>92</v>
      </c>
      <c r="Q134" s="250" t="s">
        <v>122</v>
      </c>
      <c r="R134" s="129" t="s">
        <v>351</v>
      </c>
      <c r="S134" s="129" t="s">
        <v>352</v>
      </c>
      <c r="T134" s="129" t="s">
        <v>353</v>
      </c>
      <c r="U134" s="180">
        <f t="shared" ref="U134:U164" si="3">SUM(V134:AH134)</f>
        <v>141560081.33000001</v>
      </c>
      <c r="V134" s="180">
        <v>73372025</v>
      </c>
      <c r="W134" s="180"/>
      <c r="X134" s="180">
        <v>48098891</v>
      </c>
      <c r="Y134" s="180">
        <v>4304538</v>
      </c>
      <c r="Z134" s="180">
        <v>1086723</v>
      </c>
      <c r="AA134" s="180">
        <v>1841000</v>
      </c>
      <c r="AB134" s="180">
        <v>1856779</v>
      </c>
      <c r="AC134" s="180"/>
      <c r="AD134" s="180">
        <v>10805880.84</v>
      </c>
      <c r="AE134" s="180"/>
      <c r="AF134" s="180">
        <v>194244.49</v>
      </c>
      <c r="AG134" s="180"/>
      <c r="AH134" s="180"/>
      <c r="AI134" s="128"/>
      <c r="AJ134" s="129">
        <v>1.7824192622126308E-2</v>
      </c>
      <c r="AK134" s="180">
        <v>0</v>
      </c>
    </row>
    <row r="135" spans="1:37" ht="25.5">
      <c r="A135" s="253" t="s">
        <v>356</v>
      </c>
      <c r="B135" s="254" t="s">
        <v>357</v>
      </c>
      <c r="C135" s="254" t="s">
        <v>348</v>
      </c>
      <c r="D135" s="255" t="s">
        <v>553</v>
      </c>
      <c r="E135" s="21" t="s">
        <v>621</v>
      </c>
      <c r="F135" s="255" t="s">
        <v>884</v>
      </c>
      <c r="G135" s="255" t="s">
        <v>48</v>
      </c>
      <c r="H135" s="255" t="s">
        <v>62</v>
      </c>
      <c r="I135" s="255" t="s">
        <v>69</v>
      </c>
      <c r="J135" s="180">
        <v>5182318.10544354</v>
      </c>
      <c r="K135" s="180">
        <v>171199.2</v>
      </c>
      <c r="L135" s="256">
        <v>41620</v>
      </c>
      <c r="M135" s="129">
        <v>0.15990000000000001</v>
      </c>
      <c r="N135" s="129">
        <v>0.05</v>
      </c>
      <c r="O135" s="250" t="s">
        <v>358</v>
      </c>
      <c r="P135" s="250" t="s">
        <v>350</v>
      </c>
      <c r="Q135" s="250" t="s">
        <v>359</v>
      </c>
      <c r="R135" s="129" t="s">
        <v>360</v>
      </c>
      <c r="S135" s="129" t="s">
        <v>352</v>
      </c>
      <c r="T135" s="129" t="s">
        <v>353</v>
      </c>
      <c r="U135" s="180">
        <f t="shared" si="3"/>
        <v>112532.88860732206</v>
      </c>
      <c r="V135" s="180">
        <v>33181.263404061829</v>
      </c>
      <c r="W135" s="180">
        <v>0</v>
      </c>
      <c r="X135" s="180">
        <v>70693.007813815624</v>
      </c>
      <c r="Y135" s="180">
        <v>2553.7201478562524</v>
      </c>
      <c r="Z135" s="180">
        <v>3660.1091239769626</v>
      </c>
      <c r="AA135" s="180">
        <v>1296.6892324273347</v>
      </c>
      <c r="AB135" s="180">
        <v>0</v>
      </c>
      <c r="AC135" s="180">
        <v>0</v>
      </c>
      <c r="AD135" s="180">
        <v>306.4485534337004</v>
      </c>
      <c r="AE135" s="180">
        <v>0</v>
      </c>
      <c r="AF135" s="180">
        <v>524.49361759455724</v>
      </c>
      <c r="AG135" s="180"/>
      <c r="AH135" s="180">
        <v>317.15671415580476</v>
      </c>
      <c r="AI135" s="128"/>
      <c r="AJ135" s="129" t="s">
        <v>122</v>
      </c>
      <c r="AK135" s="180">
        <v>0</v>
      </c>
    </row>
    <row r="136" spans="1:37">
      <c r="A136" s="253" t="s">
        <v>361</v>
      </c>
      <c r="B136" s="254" t="s">
        <v>362</v>
      </c>
      <c r="C136" s="254" t="s">
        <v>348</v>
      </c>
      <c r="D136" s="255" t="s">
        <v>43</v>
      </c>
      <c r="E136" s="255" t="s">
        <v>44</v>
      </c>
      <c r="F136" s="255" t="s">
        <v>884</v>
      </c>
      <c r="G136" s="255" t="s">
        <v>97</v>
      </c>
      <c r="H136" s="255" t="s">
        <v>62</v>
      </c>
      <c r="I136" s="255" t="s">
        <v>46</v>
      </c>
      <c r="J136" s="180">
        <v>15389588239.907</v>
      </c>
      <c r="K136" s="180"/>
      <c r="L136" s="128"/>
      <c r="M136" s="129">
        <v>0.19359999999999999</v>
      </c>
      <c r="N136" s="129">
        <v>5.7099999999999998E-2</v>
      </c>
      <c r="O136" s="250" t="s">
        <v>349</v>
      </c>
      <c r="P136" s="250" t="s">
        <v>92</v>
      </c>
      <c r="Q136" s="250" t="s">
        <v>122</v>
      </c>
      <c r="R136" s="129" t="s">
        <v>351</v>
      </c>
      <c r="S136" s="129" t="s">
        <v>352</v>
      </c>
      <c r="T136" s="129" t="s">
        <v>353</v>
      </c>
      <c r="U136" s="180">
        <f t="shared" si="3"/>
        <v>361962069.69999999</v>
      </c>
      <c r="V136" s="180">
        <v>257532974</v>
      </c>
      <c r="W136" s="180"/>
      <c r="X136" s="180">
        <v>52556710</v>
      </c>
      <c r="Y136" s="180">
        <v>10104994</v>
      </c>
      <c r="Z136" s="180">
        <v>1086723</v>
      </c>
      <c r="AA136" s="180">
        <v>3878000</v>
      </c>
      <c r="AB136" s="180">
        <v>4239850</v>
      </c>
      <c r="AC136" s="180"/>
      <c r="AD136" s="180">
        <v>24532913.82</v>
      </c>
      <c r="AE136" s="180"/>
      <c r="AF136" s="180">
        <v>500414.88</v>
      </c>
      <c r="AG136" s="180"/>
      <c r="AH136" s="180">
        <v>7529490</v>
      </c>
      <c r="AI136" s="128"/>
      <c r="AJ136" s="129">
        <v>2.1391616247679508E-2</v>
      </c>
      <c r="AK136" s="180">
        <v>0</v>
      </c>
    </row>
    <row r="137" spans="1:37">
      <c r="A137" s="253" t="s">
        <v>363</v>
      </c>
      <c r="B137" s="254" t="s">
        <v>364</v>
      </c>
      <c r="C137" s="254" t="s">
        <v>348</v>
      </c>
      <c r="D137" s="255" t="s">
        <v>43</v>
      </c>
      <c r="E137" s="255" t="s">
        <v>44</v>
      </c>
      <c r="F137" s="255" t="s">
        <v>1348</v>
      </c>
      <c r="G137" s="257" t="s">
        <v>365</v>
      </c>
      <c r="H137" s="255" t="s">
        <v>62</v>
      </c>
      <c r="I137" s="255" t="s">
        <v>69</v>
      </c>
      <c r="J137" s="180">
        <v>1310692.1304838699</v>
      </c>
      <c r="K137" s="180"/>
      <c r="L137" s="128"/>
      <c r="M137" s="129">
        <v>-9.7999999999999997E-3</v>
      </c>
      <c r="N137" s="129">
        <v>1.4000000000000002E-3</v>
      </c>
      <c r="O137" s="250" t="s">
        <v>349</v>
      </c>
      <c r="P137" s="250" t="s">
        <v>92</v>
      </c>
      <c r="Q137" s="250" t="s">
        <v>122</v>
      </c>
      <c r="R137" s="129" t="s">
        <v>366</v>
      </c>
      <c r="S137" s="129" t="s">
        <v>352</v>
      </c>
      <c r="T137" s="129" t="s">
        <v>353</v>
      </c>
      <c r="U137" s="180">
        <f t="shared" si="3"/>
        <v>12490.787435923345</v>
      </c>
      <c r="V137" s="180">
        <v>4827.5039274527635</v>
      </c>
      <c r="W137" s="180">
        <v>0</v>
      </c>
      <c r="X137" s="180">
        <v>1718.6824290188945</v>
      </c>
      <c r="Y137" s="180">
        <v>657.06212825435296</v>
      </c>
      <c r="Z137" s="180">
        <v>3660.1091239769626</v>
      </c>
      <c r="AA137" s="180">
        <v>323.330302111751</v>
      </c>
      <c r="AB137" s="180">
        <v>0</v>
      </c>
      <c r="AC137" s="180">
        <v>0</v>
      </c>
      <c r="AD137" s="180">
        <v>126.9269475598666</v>
      </c>
      <c r="AE137" s="180">
        <v>0</v>
      </c>
      <c r="AF137" s="180">
        <v>1177.1725775487521</v>
      </c>
      <c r="AG137" s="180"/>
      <c r="AH137" s="180">
        <v>0</v>
      </c>
      <c r="AI137" s="128"/>
      <c r="AJ137" s="129">
        <v>9.461385256745029E-3</v>
      </c>
      <c r="AK137" s="180">
        <v>0</v>
      </c>
    </row>
    <row r="138" spans="1:37">
      <c r="A138" s="253" t="s">
        <v>367</v>
      </c>
      <c r="B138" s="254" t="s">
        <v>368</v>
      </c>
      <c r="C138" s="254" t="s">
        <v>348</v>
      </c>
      <c r="D138" s="255" t="s">
        <v>43</v>
      </c>
      <c r="E138" s="255" t="s">
        <v>44</v>
      </c>
      <c r="F138" s="255" t="s">
        <v>1348</v>
      </c>
      <c r="G138" s="255" t="s">
        <v>48</v>
      </c>
      <c r="H138" s="255" t="s">
        <v>45</v>
      </c>
      <c r="I138" s="255" t="s">
        <v>46</v>
      </c>
      <c r="J138" s="180">
        <v>1745523506.75806</v>
      </c>
      <c r="K138" s="180"/>
      <c r="L138" s="128"/>
      <c r="M138" s="129">
        <v>9.4800000000000009E-2</v>
      </c>
      <c r="N138" s="129">
        <v>0.1003</v>
      </c>
      <c r="O138" s="250" t="s">
        <v>349</v>
      </c>
      <c r="P138" s="250" t="s">
        <v>92</v>
      </c>
      <c r="Q138" s="250" t="s">
        <v>122</v>
      </c>
      <c r="R138" s="129" t="s">
        <v>351</v>
      </c>
      <c r="S138" s="129" t="s">
        <v>352</v>
      </c>
      <c r="T138" s="129" t="s">
        <v>353</v>
      </c>
      <c r="U138" s="180">
        <f t="shared" si="3"/>
        <v>24640349.920000002</v>
      </c>
      <c r="V138" s="180">
        <v>12821067</v>
      </c>
      <c r="W138" s="180"/>
      <c r="X138" s="180">
        <v>8115555</v>
      </c>
      <c r="Y138" s="180">
        <v>1307540</v>
      </c>
      <c r="Z138" s="180">
        <v>1086723</v>
      </c>
      <c r="AA138" s="180">
        <v>436000</v>
      </c>
      <c r="AB138" s="180">
        <v>767762</v>
      </c>
      <c r="AC138" s="180"/>
      <c r="AD138" s="180"/>
      <c r="AE138" s="180"/>
      <c r="AF138" s="180">
        <v>105702.92</v>
      </c>
      <c r="AG138" s="180"/>
      <c r="AH138" s="180"/>
      <c r="AI138" s="128"/>
      <c r="AJ138" s="129">
        <v>1.4162172540100307E-2</v>
      </c>
      <c r="AK138" s="180">
        <v>0</v>
      </c>
    </row>
    <row r="139" spans="1:37">
      <c r="A139" s="253" t="s">
        <v>369</v>
      </c>
      <c r="B139" s="254" t="s">
        <v>370</v>
      </c>
      <c r="C139" s="254" t="s">
        <v>348</v>
      </c>
      <c r="D139" s="255" t="s">
        <v>43</v>
      </c>
      <c r="E139" s="255" t="s">
        <v>44</v>
      </c>
      <c r="F139" s="255" t="s">
        <v>1348</v>
      </c>
      <c r="G139" s="255" t="s">
        <v>58</v>
      </c>
      <c r="H139" s="255" t="s">
        <v>62</v>
      </c>
      <c r="I139" s="255" t="s">
        <v>46</v>
      </c>
      <c r="J139" s="180">
        <v>8654666100.2522907</v>
      </c>
      <c r="K139" s="180"/>
      <c r="L139" s="128"/>
      <c r="M139" s="129">
        <v>-1.9299999999999998E-2</v>
      </c>
      <c r="N139" s="129">
        <v>-7.5199999999999989E-2</v>
      </c>
      <c r="O139" s="250" t="s">
        <v>349</v>
      </c>
      <c r="P139" s="250" t="s">
        <v>92</v>
      </c>
      <c r="Q139" s="250" t="s">
        <v>122</v>
      </c>
      <c r="R139" s="129" t="s">
        <v>351</v>
      </c>
      <c r="S139" s="129" t="s">
        <v>352</v>
      </c>
      <c r="T139" s="129" t="s">
        <v>353</v>
      </c>
      <c r="U139" s="180">
        <f t="shared" si="3"/>
        <v>128773950.81999999</v>
      </c>
      <c r="V139" s="180">
        <v>86027406</v>
      </c>
      <c r="W139" s="180"/>
      <c r="X139" s="180">
        <v>115921</v>
      </c>
      <c r="Y139" s="180">
        <v>7995578</v>
      </c>
      <c r="Z139" s="180">
        <v>1086723</v>
      </c>
      <c r="AA139" s="180">
        <v>2153000</v>
      </c>
      <c r="AB139" s="180">
        <v>4181721</v>
      </c>
      <c r="AC139" s="180"/>
      <c r="AD139" s="180">
        <v>26925031.219999999</v>
      </c>
      <c r="AE139" s="180"/>
      <c r="AF139" s="180">
        <v>288570.60000000003</v>
      </c>
      <c r="AG139" s="180"/>
      <c r="AH139" s="180"/>
      <c r="AI139" s="128"/>
      <c r="AJ139" s="129">
        <v>1.1779050617274677E-2</v>
      </c>
      <c r="AK139" s="180">
        <v>0</v>
      </c>
    </row>
    <row r="140" spans="1:37">
      <c r="A140" s="253" t="s">
        <v>371</v>
      </c>
      <c r="B140" s="254" t="s">
        <v>372</v>
      </c>
      <c r="C140" s="254" t="s">
        <v>348</v>
      </c>
      <c r="D140" s="255" t="s">
        <v>43</v>
      </c>
      <c r="E140" s="255" t="s">
        <v>44</v>
      </c>
      <c r="F140" s="255" t="s">
        <v>55</v>
      </c>
      <c r="G140" s="255" t="s">
        <v>58</v>
      </c>
      <c r="H140" s="255" t="s">
        <v>62</v>
      </c>
      <c r="I140" s="255" t="s">
        <v>46</v>
      </c>
      <c r="J140" s="180">
        <v>6887863987.1798296</v>
      </c>
      <c r="K140" s="180"/>
      <c r="L140" s="128"/>
      <c r="M140" s="129">
        <v>0.1865</v>
      </c>
      <c r="N140" s="129">
        <v>0.2036</v>
      </c>
      <c r="O140" s="250" t="s">
        <v>349</v>
      </c>
      <c r="P140" s="250" t="s">
        <v>92</v>
      </c>
      <c r="Q140" s="250" t="s">
        <v>122</v>
      </c>
      <c r="R140" s="129" t="s">
        <v>351</v>
      </c>
      <c r="S140" s="129" t="s">
        <v>352</v>
      </c>
      <c r="T140" s="129" t="s">
        <v>353</v>
      </c>
      <c r="U140" s="180">
        <f t="shared" si="3"/>
        <v>93113513.350000009</v>
      </c>
      <c r="V140" s="180">
        <v>66005199</v>
      </c>
      <c r="W140" s="180"/>
      <c r="X140" s="180">
        <v>2958942</v>
      </c>
      <c r="Y140" s="180">
        <v>5379193</v>
      </c>
      <c r="Z140" s="180">
        <v>1086723</v>
      </c>
      <c r="AA140" s="180">
        <v>1724000</v>
      </c>
      <c r="AB140" s="180">
        <v>2661398</v>
      </c>
      <c r="AC140" s="180"/>
      <c r="AD140" s="180">
        <v>13142756.26</v>
      </c>
      <c r="AE140" s="180"/>
      <c r="AF140" s="180">
        <v>155302.09</v>
      </c>
      <c r="AG140" s="180"/>
      <c r="AH140" s="180"/>
      <c r="AI140" s="129">
        <v>1E-3</v>
      </c>
      <c r="AJ140" s="129">
        <v>1.2588876220014296E-2</v>
      </c>
      <c r="AK140" s="180">
        <v>0</v>
      </c>
    </row>
    <row r="141" spans="1:37">
      <c r="A141" s="253" t="s">
        <v>373</v>
      </c>
      <c r="B141" s="254" t="s">
        <v>374</v>
      </c>
      <c r="C141" s="254" t="s">
        <v>348</v>
      </c>
      <c r="D141" s="255" t="s">
        <v>43</v>
      </c>
      <c r="E141" s="255" t="s">
        <v>44</v>
      </c>
      <c r="F141" s="255" t="s">
        <v>55</v>
      </c>
      <c r="G141" s="255" t="s">
        <v>88</v>
      </c>
      <c r="H141" s="255" t="s">
        <v>45</v>
      </c>
      <c r="I141" s="255" t="s">
        <v>46</v>
      </c>
      <c r="J141" s="180">
        <v>14075728672.4928</v>
      </c>
      <c r="K141" s="180"/>
      <c r="L141" s="128"/>
      <c r="M141" s="129">
        <v>8.4100000000000008E-2</v>
      </c>
      <c r="N141" s="129">
        <v>5.7099999999999998E-2</v>
      </c>
      <c r="O141" s="250" t="s">
        <v>349</v>
      </c>
      <c r="P141" s="250" t="s">
        <v>92</v>
      </c>
      <c r="Q141" s="250" t="s">
        <v>122</v>
      </c>
      <c r="R141" s="129" t="s">
        <v>351</v>
      </c>
      <c r="S141" s="129" t="s">
        <v>352</v>
      </c>
      <c r="T141" s="129" t="s">
        <v>353</v>
      </c>
      <c r="U141" s="180">
        <f t="shared" si="3"/>
        <v>15121552.32</v>
      </c>
      <c r="V141" s="180"/>
      <c r="W141" s="180"/>
      <c r="X141" s="180"/>
      <c r="Y141" s="180">
        <v>5634534</v>
      </c>
      <c r="Z141" s="180">
        <v>1086723</v>
      </c>
      <c r="AA141" s="180">
        <v>3522000</v>
      </c>
      <c r="AB141" s="180">
        <v>4711778</v>
      </c>
      <c r="AC141" s="180"/>
      <c r="AD141" s="180">
        <v>146524</v>
      </c>
      <c r="AE141" s="180"/>
      <c r="AF141" s="180">
        <v>19993.32</v>
      </c>
      <c r="AG141" s="180"/>
      <c r="AH141" s="180"/>
      <c r="AI141" s="129">
        <v>1.2E-2</v>
      </c>
      <c r="AJ141" s="129">
        <v>1.3063434727046647E-2</v>
      </c>
      <c r="AK141" s="180">
        <v>0</v>
      </c>
    </row>
    <row r="142" spans="1:37">
      <c r="A142" s="253" t="s">
        <v>375</v>
      </c>
      <c r="B142" s="254" t="s">
        <v>376</v>
      </c>
      <c r="C142" s="254" t="s">
        <v>348</v>
      </c>
      <c r="D142" s="255" t="s">
        <v>43</v>
      </c>
      <c r="E142" s="255" t="s">
        <v>44</v>
      </c>
      <c r="F142" s="255" t="s">
        <v>55</v>
      </c>
      <c r="G142" s="255" t="s">
        <v>97</v>
      </c>
      <c r="H142" s="255" t="s">
        <v>45</v>
      </c>
      <c r="I142" s="255" t="s">
        <v>46</v>
      </c>
      <c r="J142" s="180">
        <v>7658786799.6314497</v>
      </c>
      <c r="K142" s="180"/>
      <c r="L142" s="128"/>
      <c r="M142" s="129">
        <v>0.1007</v>
      </c>
      <c r="N142" s="129">
        <v>5.7099999999999998E-2</v>
      </c>
      <c r="O142" s="250" t="s">
        <v>349</v>
      </c>
      <c r="P142" s="250" t="s">
        <v>92</v>
      </c>
      <c r="Q142" s="250" t="s">
        <v>122</v>
      </c>
      <c r="R142" s="129" t="s">
        <v>351</v>
      </c>
      <c r="S142" s="129" t="s">
        <v>352</v>
      </c>
      <c r="T142" s="129" t="s">
        <v>353</v>
      </c>
      <c r="U142" s="180">
        <f t="shared" si="3"/>
        <v>9258457.2100000009</v>
      </c>
      <c r="V142" s="180"/>
      <c r="W142" s="180"/>
      <c r="X142" s="180"/>
      <c r="Y142" s="180">
        <v>3068017</v>
      </c>
      <c r="Z142" s="180">
        <v>1033090.9</v>
      </c>
      <c r="AA142" s="180">
        <v>1917000</v>
      </c>
      <c r="AB142" s="180">
        <v>3072291</v>
      </c>
      <c r="AC142" s="180"/>
      <c r="AD142" s="180">
        <v>148498.07999999999</v>
      </c>
      <c r="AE142" s="180"/>
      <c r="AF142" s="180">
        <v>19560.23</v>
      </c>
      <c r="AG142" s="180"/>
      <c r="AH142" s="180"/>
      <c r="AI142" s="129">
        <v>1.6500000000000001E-2</v>
      </c>
      <c r="AJ142" s="129">
        <v>1.7688645263187794E-2</v>
      </c>
      <c r="AK142" s="180">
        <v>0</v>
      </c>
    </row>
    <row r="143" spans="1:37">
      <c r="A143" s="253" t="s">
        <v>377</v>
      </c>
      <c r="B143" s="254" t="s">
        <v>378</v>
      </c>
      <c r="C143" s="254" t="s">
        <v>348</v>
      </c>
      <c r="D143" s="255" t="s">
        <v>43</v>
      </c>
      <c r="E143" s="255" t="s">
        <v>44</v>
      </c>
      <c r="F143" s="255" t="s">
        <v>55</v>
      </c>
      <c r="G143" s="258" t="s">
        <v>884</v>
      </c>
      <c r="H143" s="255" t="s">
        <v>45</v>
      </c>
      <c r="I143" s="255" t="s">
        <v>46</v>
      </c>
      <c r="J143" s="180">
        <v>16449022608.8529</v>
      </c>
      <c r="K143" s="180"/>
      <c r="L143" s="128"/>
      <c r="M143" s="129">
        <v>0.19350000000000001</v>
      </c>
      <c r="N143" s="129">
        <v>5.7099999999999998E-2</v>
      </c>
      <c r="O143" s="250" t="s">
        <v>349</v>
      </c>
      <c r="P143" s="250" t="s">
        <v>92</v>
      </c>
      <c r="Q143" s="250" t="s">
        <v>122</v>
      </c>
      <c r="R143" s="129" t="s">
        <v>351</v>
      </c>
      <c r="S143" s="129" t="s">
        <v>352</v>
      </c>
      <c r="T143" s="129" t="s">
        <v>353</v>
      </c>
      <c r="U143" s="180">
        <f t="shared" si="3"/>
        <v>18689664.259999998</v>
      </c>
      <c r="V143" s="180"/>
      <c r="W143" s="180"/>
      <c r="X143" s="180"/>
      <c r="Y143" s="180">
        <v>6600838</v>
      </c>
      <c r="Z143" s="180">
        <v>1033090.9</v>
      </c>
      <c r="AA143" s="180">
        <v>4127000</v>
      </c>
      <c r="AB143" s="180">
        <v>6136999</v>
      </c>
      <c r="AC143" s="180"/>
      <c r="AD143" s="180">
        <v>769470.06</v>
      </c>
      <c r="AE143" s="180"/>
      <c r="AF143" s="180">
        <v>22266.3</v>
      </c>
      <c r="AG143" s="180"/>
      <c r="AH143" s="180"/>
      <c r="AI143" s="129">
        <v>1.0200000000000001E-2</v>
      </c>
      <c r="AJ143" s="129">
        <v>1.1287930743554045E-2</v>
      </c>
      <c r="AK143" s="180">
        <v>0</v>
      </c>
    </row>
    <row r="144" spans="1:37">
      <c r="A144" s="253" t="s">
        <v>379</v>
      </c>
      <c r="B144" s="254" t="s">
        <v>380</v>
      </c>
      <c r="C144" s="254" t="s">
        <v>348</v>
      </c>
      <c r="D144" s="255" t="s">
        <v>43</v>
      </c>
      <c r="E144" s="255" t="s">
        <v>44</v>
      </c>
      <c r="F144" s="255" t="s">
        <v>1348</v>
      </c>
      <c r="G144" s="257" t="s">
        <v>365</v>
      </c>
      <c r="H144" s="255" t="s">
        <v>45</v>
      </c>
      <c r="I144" s="255" t="s">
        <v>46</v>
      </c>
      <c r="J144" s="180">
        <v>4094610911.5443501</v>
      </c>
      <c r="K144" s="180"/>
      <c r="L144" s="128"/>
      <c r="M144" s="129">
        <v>3.49E-2</v>
      </c>
      <c r="N144" s="129">
        <v>1.29E-2</v>
      </c>
      <c r="O144" s="250" t="s">
        <v>381</v>
      </c>
      <c r="P144" s="250" t="s">
        <v>92</v>
      </c>
      <c r="Q144" s="250" t="s">
        <v>122</v>
      </c>
      <c r="R144" s="129" t="s">
        <v>351</v>
      </c>
      <c r="S144" s="129" t="s">
        <v>352</v>
      </c>
      <c r="T144" s="129" t="s">
        <v>353</v>
      </c>
      <c r="U144" s="180">
        <f t="shared" si="3"/>
        <v>47839263.090000004</v>
      </c>
      <c r="V144" s="180">
        <v>20597924</v>
      </c>
      <c r="W144" s="180"/>
      <c r="X144" s="180">
        <v>20622849</v>
      </c>
      <c r="Y144" s="180">
        <v>2533063</v>
      </c>
      <c r="Z144" s="180">
        <v>1086723</v>
      </c>
      <c r="AA144" s="180">
        <v>1033000</v>
      </c>
      <c r="AB144" s="180">
        <v>1952071</v>
      </c>
      <c r="AC144" s="180"/>
      <c r="AD144" s="180"/>
      <c r="AE144" s="180"/>
      <c r="AF144" s="180">
        <v>13633.09</v>
      </c>
      <c r="AG144" s="180"/>
      <c r="AH144" s="180"/>
      <c r="AI144" s="128"/>
      <c r="AJ144" s="129">
        <v>1.167347977346677E-2</v>
      </c>
      <c r="AK144" s="180">
        <v>0</v>
      </c>
    </row>
    <row r="145" spans="1:37">
      <c r="A145" s="253" t="s">
        <v>382</v>
      </c>
      <c r="B145" s="254" t="s">
        <v>383</v>
      </c>
      <c r="C145" s="254" t="s">
        <v>348</v>
      </c>
      <c r="D145" s="255" t="s">
        <v>43</v>
      </c>
      <c r="E145" s="255" t="s">
        <v>44</v>
      </c>
      <c r="F145" s="255" t="s">
        <v>1348</v>
      </c>
      <c r="G145" s="255" t="s">
        <v>58</v>
      </c>
      <c r="H145" s="255" t="s">
        <v>62</v>
      </c>
      <c r="I145" s="255" t="s">
        <v>46</v>
      </c>
      <c r="J145" s="180">
        <v>4616110180.8708801</v>
      </c>
      <c r="K145" s="180"/>
      <c r="L145" s="128"/>
      <c r="M145" s="129">
        <v>0.31920000000000004</v>
      </c>
      <c r="N145" s="129">
        <v>-8.8000000000000005E-3</v>
      </c>
      <c r="O145" s="250" t="s">
        <v>349</v>
      </c>
      <c r="P145" s="250" t="s">
        <v>92</v>
      </c>
      <c r="Q145" s="250" t="s">
        <v>122</v>
      </c>
      <c r="R145" s="129" t="s">
        <v>351</v>
      </c>
      <c r="S145" s="129" t="s">
        <v>352</v>
      </c>
      <c r="T145" s="129" t="s">
        <v>353</v>
      </c>
      <c r="U145" s="180">
        <f t="shared" si="3"/>
        <v>114193136.53</v>
      </c>
      <c r="V145" s="180">
        <v>70788112</v>
      </c>
      <c r="W145" s="180"/>
      <c r="X145" s="180">
        <v>22006738</v>
      </c>
      <c r="Y145" s="180">
        <v>3429033</v>
      </c>
      <c r="Z145" s="180">
        <v>1086723</v>
      </c>
      <c r="AA145" s="180">
        <v>1159000</v>
      </c>
      <c r="AB145" s="180">
        <v>2023201</v>
      </c>
      <c r="AC145" s="180"/>
      <c r="AD145" s="180">
        <v>13471109.310000001</v>
      </c>
      <c r="AE145" s="180"/>
      <c r="AF145" s="180">
        <v>229220.22</v>
      </c>
      <c r="AG145" s="180"/>
      <c r="AH145" s="180"/>
      <c r="AI145" s="128"/>
      <c r="AJ145" s="129">
        <v>2.1784055429146344E-2</v>
      </c>
      <c r="AK145" s="180">
        <v>0</v>
      </c>
    </row>
    <row r="146" spans="1:37">
      <c r="A146" s="253" t="s">
        <v>384</v>
      </c>
      <c r="B146" s="254" t="s">
        <v>385</v>
      </c>
      <c r="C146" s="254" t="s">
        <v>348</v>
      </c>
      <c r="D146" s="255" t="s">
        <v>43</v>
      </c>
      <c r="E146" s="255" t="s">
        <v>44</v>
      </c>
      <c r="F146" s="255" t="s">
        <v>1348</v>
      </c>
      <c r="G146" s="255" t="s">
        <v>81</v>
      </c>
      <c r="H146" s="255" t="s">
        <v>45</v>
      </c>
      <c r="I146" s="255" t="s">
        <v>46</v>
      </c>
      <c r="J146" s="180">
        <v>14601774964.0483</v>
      </c>
      <c r="K146" s="180"/>
      <c r="L146" s="128"/>
      <c r="M146" s="129">
        <v>7.7600000000000002E-2</v>
      </c>
      <c r="N146" s="129">
        <v>6.5700000000000008E-2</v>
      </c>
      <c r="O146" s="250" t="s">
        <v>349</v>
      </c>
      <c r="P146" s="250" t="s">
        <v>92</v>
      </c>
      <c r="Q146" s="250" t="s">
        <v>122</v>
      </c>
      <c r="R146" s="129" t="s">
        <v>351</v>
      </c>
      <c r="S146" s="129" t="s">
        <v>352</v>
      </c>
      <c r="T146" s="129" t="s">
        <v>353</v>
      </c>
      <c r="U146" s="180">
        <f t="shared" si="3"/>
        <v>161553228.88999999</v>
      </c>
      <c r="V146" s="180">
        <v>131215402</v>
      </c>
      <c r="W146" s="180"/>
      <c r="X146" s="180">
        <v>14870238</v>
      </c>
      <c r="Y146" s="180">
        <v>7075027</v>
      </c>
      <c r="Z146" s="180">
        <v>1086723</v>
      </c>
      <c r="AA146" s="180">
        <v>3652000</v>
      </c>
      <c r="AB146" s="180">
        <v>2770492</v>
      </c>
      <c r="AC146" s="180"/>
      <c r="AD146" s="180">
        <v>781504</v>
      </c>
      <c r="AE146" s="180"/>
      <c r="AF146" s="180">
        <v>101842.89</v>
      </c>
      <c r="AG146" s="180"/>
      <c r="AH146" s="180"/>
      <c r="AI146" s="128"/>
      <c r="AJ146" s="129">
        <v>1.1007326600488049E-2</v>
      </c>
      <c r="AK146" s="180">
        <v>0</v>
      </c>
    </row>
    <row r="147" spans="1:37">
      <c r="A147" s="253" t="s">
        <v>386</v>
      </c>
      <c r="B147" s="254" t="s">
        <v>387</v>
      </c>
      <c r="C147" s="254" t="s">
        <v>348</v>
      </c>
      <c r="D147" s="255" t="s">
        <v>43</v>
      </c>
      <c r="E147" s="255" t="s">
        <v>44</v>
      </c>
      <c r="F147" s="255" t="s">
        <v>884</v>
      </c>
      <c r="G147" s="255" t="s">
        <v>97</v>
      </c>
      <c r="H147" s="255" t="s">
        <v>62</v>
      </c>
      <c r="I147" s="255" t="s">
        <v>46</v>
      </c>
      <c r="J147" s="180">
        <v>1318455663.8626201</v>
      </c>
      <c r="K147" s="180"/>
      <c r="L147" s="128"/>
      <c r="M147" s="129">
        <v>0.26700000000000002</v>
      </c>
      <c r="N147" s="129">
        <v>5.7099999999999998E-2</v>
      </c>
      <c r="O147" s="250" t="s">
        <v>349</v>
      </c>
      <c r="P147" s="250" t="s">
        <v>92</v>
      </c>
      <c r="Q147" s="250" t="s">
        <v>122</v>
      </c>
      <c r="R147" s="129" t="s">
        <v>351</v>
      </c>
      <c r="S147" s="129" t="s">
        <v>352</v>
      </c>
      <c r="T147" s="129" t="s">
        <v>353</v>
      </c>
      <c r="U147" s="180">
        <f t="shared" si="3"/>
        <v>33848608.359999999</v>
      </c>
      <c r="V147" s="180">
        <v>26509577</v>
      </c>
      <c r="W147" s="180"/>
      <c r="X147" s="180"/>
      <c r="Y147" s="180">
        <v>635788</v>
      </c>
      <c r="Z147" s="180">
        <v>1086723</v>
      </c>
      <c r="AA147" s="180">
        <v>332000</v>
      </c>
      <c r="AB147" s="180">
        <v>949887</v>
      </c>
      <c r="AC147" s="180"/>
      <c r="AD147" s="180">
        <v>3258328.81</v>
      </c>
      <c r="AE147" s="180"/>
      <c r="AF147" s="180">
        <v>146108.54999999999</v>
      </c>
      <c r="AG147" s="180"/>
      <c r="AH147" s="180">
        <v>930196</v>
      </c>
      <c r="AI147" s="128"/>
      <c r="AJ147" s="129">
        <v>2.24500034364029E-2</v>
      </c>
      <c r="AK147" s="180">
        <v>0</v>
      </c>
    </row>
    <row r="148" spans="1:37">
      <c r="A148" s="253" t="s">
        <v>388</v>
      </c>
      <c r="B148" s="254" t="s">
        <v>389</v>
      </c>
      <c r="C148" s="254" t="s">
        <v>348</v>
      </c>
      <c r="D148" s="255" t="s">
        <v>43</v>
      </c>
      <c r="E148" s="255" t="s">
        <v>44</v>
      </c>
      <c r="F148" s="255" t="s">
        <v>1348</v>
      </c>
      <c r="G148" s="257" t="s">
        <v>365</v>
      </c>
      <c r="H148" s="255" t="s">
        <v>62</v>
      </c>
      <c r="I148" s="255" t="s">
        <v>239</v>
      </c>
      <c r="J148" s="180">
        <v>2837473.0711693498</v>
      </c>
      <c r="K148" s="180"/>
      <c r="L148" s="128"/>
      <c r="M148" s="129">
        <v>-3.4999999999999996E-3</v>
      </c>
      <c r="N148" s="129">
        <v>-3.4999999999999996E-3</v>
      </c>
      <c r="O148" s="250" t="s">
        <v>349</v>
      </c>
      <c r="P148" s="250" t="s">
        <v>92</v>
      </c>
      <c r="Q148" s="250" t="s">
        <v>122</v>
      </c>
      <c r="R148" s="129" t="s">
        <v>351</v>
      </c>
      <c r="S148" s="129" t="s">
        <v>352</v>
      </c>
      <c r="T148" s="129" t="s">
        <v>353</v>
      </c>
      <c r="U148" s="180">
        <f t="shared" si="3"/>
        <v>23060.21906245653</v>
      </c>
      <c r="V148" s="180">
        <v>13873.987944081235</v>
      </c>
      <c r="W148" s="180">
        <v>0</v>
      </c>
      <c r="X148" s="180">
        <v>666.42555756479805</v>
      </c>
      <c r="Y148" s="180">
        <v>1309.8483113089444</v>
      </c>
      <c r="Z148" s="180">
        <v>5038.8232021143413</v>
      </c>
      <c r="AA148" s="180">
        <v>737.23744609820562</v>
      </c>
      <c r="AB148" s="180">
        <v>0</v>
      </c>
      <c r="AC148" s="180">
        <v>0</v>
      </c>
      <c r="AD148" s="180">
        <v>365.67255529280851</v>
      </c>
      <c r="AE148" s="180">
        <v>0</v>
      </c>
      <c r="AF148" s="180">
        <v>1068.2240459961979</v>
      </c>
      <c r="AG148" s="180"/>
      <c r="AH148" s="180">
        <v>0</v>
      </c>
      <c r="AI148" s="128"/>
      <c r="AJ148" s="129">
        <v>7.7794452219539997E-3</v>
      </c>
      <c r="AK148" s="180">
        <v>0</v>
      </c>
    </row>
    <row r="149" spans="1:37" ht="25.5">
      <c r="A149" s="253" t="s">
        <v>390</v>
      </c>
      <c r="B149" s="254" t="s">
        <v>391</v>
      </c>
      <c r="C149" s="254" t="s">
        <v>348</v>
      </c>
      <c r="D149" s="255" t="s">
        <v>43</v>
      </c>
      <c r="E149" s="255" t="s">
        <v>44</v>
      </c>
      <c r="F149" s="255" t="s">
        <v>884</v>
      </c>
      <c r="G149" s="255" t="s">
        <v>97</v>
      </c>
      <c r="H149" s="255" t="s">
        <v>45</v>
      </c>
      <c r="I149" s="255" t="s">
        <v>46</v>
      </c>
      <c r="J149" s="180">
        <v>41306788461.949303</v>
      </c>
      <c r="K149" s="180"/>
      <c r="L149" s="128"/>
      <c r="M149" s="129">
        <v>9.9199999999999997E-2</v>
      </c>
      <c r="N149" s="129">
        <v>5.7099999999999998E-2</v>
      </c>
      <c r="O149" s="250" t="s">
        <v>349</v>
      </c>
      <c r="P149" s="250" t="s">
        <v>350</v>
      </c>
      <c r="Q149" s="250" t="s">
        <v>108</v>
      </c>
      <c r="R149" s="129" t="s">
        <v>351</v>
      </c>
      <c r="S149" s="129" t="s">
        <v>352</v>
      </c>
      <c r="T149" s="129" t="s">
        <v>353</v>
      </c>
      <c r="U149" s="180">
        <f t="shared" si="3"/>
        <v>1216614979.5999999</v>
      </c>
      <c r="V149" s="180">
        <v>458257575</v>
      </c>
      <c r="W149" s="180">
        <v>421131404</v>
      </c>
      <c r="X149" s="180">
        <v>216943501</v>
      </c>
      <c r="Y149" s="180">
        <v>23463273</v>
      </c>
      <c r="Z149" s="180">
        <v>1086723</v>
      </c>
      <c r="AA149" s="180">
        <v>10356000</v>
      </c>
      <c r="AB149" s="180"/>
      <c r="AC149" s="180"/>
      <c r="AD149" s="180">
        <v>1786149.5100000016</v>
      </c>
      <c r="AE149" s="180"/>
      <c r="AF149" s="180">
        <v>814717.09</v>
      </c>
      <c r="AG149" s="180"/>
      <c r="AH149" s="180">
        <v>82775637</v>
      </c>
      <c r="AI149" s="128"/>
      <c r="AJ149" s="129">
        <v>1.7193653008232782E-2</v>
      </c>
      <c r="AK149" s="180">
        <v>0</v>
      </c>
    </row>
    <row r="150" spans="1:37">
      <c r="A150" s="253" t="s">
        <v>392</v>
      </c>
      <c r="B150" s="254" t="s">
        <v>393</v>
      </c>
      <c r="C150" s="254" t="s">
        <v>348</v>
      </c>
      <c r="D150" s="255" t="s">
        <v>43</v>
      </c>
      <c r="E150" s="255" t="s">
        <v>44</v>
      </c>
      <c r="F150" s="255" t="s">
        <v>55</v>
      </c>
      <c r="G150" s="255" t="s">
        <v>97</v>
      </c>
      <c r="H150" s="255" t="s">
        <v>62</v>
      </c>
      <c r="I150" s="255" t="s">
        <v>69</v>
      </c>
      <c r="J150" s="180">
        <v>9571566.4713306408</v>
      </c>
      <c r="K150" s="180"/>
      <c r="L150" s="128"/>
      <c r="M150" s="129">
        <v>4.8000000000000001E-2</v>
      </c>
      <c r="N150" s="129">
        <v>1E-4</v>
      </c>
      <c r="O150" s="250" t="s">
        <v>92</v>
      </c>
      <c r="P150" s="250" t="s">
        <v>92</v>
      </c>
      <c r="Q150" s="250" t="s">
        <v>122</v>
      </c>
      <c r="R150" s="129" t="s">
        <v>351</v>
      </c>
      <c r="S150" s="129" t="s">
        <v>352</v>
      </c>
      <c r="T150" s="129" t="s">
        <v>353</v>
      </c>
      <c r="U150" s="180">
        <f t="shared" si="3"/>
        <v>10414.739944427602</v>
      </c>
      <c r="V150" s="180">
        <v>0</v>
      </c>
      <c r="W150" s="180">
        <v>0</v>
      </c>
      <c r="X150" s="180">
        <v>0</v>
      </c>
      <c r="Y150" s="180">
        <v>3834.7379236132156</v>
      </c>
      <c r="Z150" s="180">
        <v>3660.1091239769626</v>
      </c>
      <c r="AA150" s="180">
        <v>2387.9290020544945</v>
      </c>
      <c r="AB150" s="180">
        <v>0</v>
      </c>
      <c r="AC150" s="180">
        <v>0</v>
      </c>
      <c r="AD150" s="180">
        <v>228.71088882152841</v>
      </c>
      <c r="AE150" s="180">
        <v>0</v>
      </c>
      <c r="AF150" s="180">
        <v>303.25300596140244</v>
      </c>
      <c r="AG150" s="180"/>
      <c r="AH150" s="180">
        <v>0</v>
      </c>
      <c r="AI150" s="129">
        <v>1.6799999999999999E-2</v>
      </c>
      <c r="AJ150" s="129">
        <v>1.7866351618005469E-2</v>
      </c>
      <c r="AK150" s="180">
        <v>0</v>
      </c>
    </row>
    <row r="151" spans="1:37">
      <c r="A151" s="253" t="s">
        <v>394</v>
      </c>
      <c r="B151" s="254" t="s">
        <v>395</v>
      </c>
      <c r="C151" s="254" t="s">
        <v>348</v>
      </c>
      <c r="D151" s="255" t="s">
        <v>43</v>
      </c>
      <c r="E151" s="255" t="s">
        <v>44</v>
      </c>
      <c r="F151" s="255" t="s">
        <v>1348</v>
      </c>
      <c r="G151" s="255" t="s">
        <v>81</v>
      </c>
      <c r="H151" s="255" t="s">
        <v>45</v>
      </c>
      <c r="I151" s="255" t="s">
        <v>46</v>
      </c>
      <c r="J151" s="180">
        <v>240995435.219596</v>
      </c>
      <c r="K151" s="180"/>
      <c r="L151" s="128"/>
      <c r="M151" s="129">
        <v>3.9599999999999996E-2</v>
      </c>
      <c r="N151" s="129">
        <v>6.5700000000000008E-2</v>
      </c>
      <c r="O151" s="250" t="s">
        <v>349</v>
      </c>
      <c r="P151" s="250" t="s">
        <v>92</v>
      </c>
      <c r="Q151" s="250" t="s">
        <v>122</v>
      </c>
      <c r="R151" s="129" t="s">
        <v>351</v>
      </c>
      <c r="S151" s="129" t="s">
        <v>352</v>
      </c>
      <c r="T151" s="129" t="s">
        <v>353</v>
      </c>
      <c r="U151" s="180">
        <f t="shared" si="3"/>
        <v>2507843</v>
      </c>
      <c r="V151" s="180">
        <v>1205188</v>
      </c>
      <c r="W151" s="180"/>
      <c r="X151" s="180"/>
      <c r="Y151" s="180">
        <v>105999</v>
      </c>
      <c r="Z151" s="180">
        <v>1047988</v>
      </c>
      <c r="AA151" s="180">
        <v>60000</v>
      </c>
      <c r="AB151" s="180"/>
      <c r="AC151" s="180"/>
      <c r="AD151" s="180">
        <v>42700</v>
      </c>
      <c r="AE151" s="180"/>
      <c r="AF151" s="180">
        <v>45968</v>
      </c>
      <c r="AG151" s="180"/>
      <c r="AH151" s="180"/>
      <c r="AI151" s="128"/>
      <c r="AJ151" s="129">
        <v>1.022923811882449E-2</v>
      </c>
      <c r="AK151" s="180">
        <v>0</v>
      </c>
    </row>
    <row r="152" spans="1:37" ht="51">
      <c r="A152" s="253" t="s">
        <v>396</v>
      </c>
      <c r="B152" s="254" t="s">
        <v>397</v>
      </c>
      <c r="C152" s="254" t="s">
        <v>348</v>
      </c>
      <c r="D152" s="255" t="s">
        <v>553</v>
      </c>
      <c r="E152" s="21" t="s">
        <v>621</v>
      </c>
      <c r="F152" s="255" t="s">
        <v>884</v>
      </c>
      <c r="G152" s="255" t="s">
        <v>97</v>
      </c>
      <c r="H152" s="255" t="s">
        <v>62</v>
      </c>
      <c r="I152" s="255" t="s">
        <v>46</v>
      </c>
      <c r="J152" s="180">
        <v>542166890.86423302</v>
      </c>
      <c r="K152" s="180"/>
      <c r="L152" s="128"/>
      <c r="M152" s="129">
        <v>-0.40130000000000005</v>
      </c>
      <c r="N152" s="129">
        <v>-0.40130000000000005</v>
      </c>
      <c r="O152" s="250" t="s">
        <v>398</v>
      </c>
      <c r="P152" s="250" t="s">
        <v>399</v>
      </c>
      <c r="Q152" s="250" t="s">
        <v>108</v>
      </c>
      <c r="R152" s="129" t="s">
        <v>398</v>
      </c>
      <c r="S152" s="129" t="s">
        <v>352</v>
      </c>
      <c r="T152" s="129" t="s">
        <v>353</v>
      </c>
      <c r="U152" s="180">
        <f t="shared" si="3"/>
        <v>16044005.460000001</v>
      </c>
      <c r="V152" s="180">
        <v>13498263</v>
      </c>
      <c r="W152" s="180"/>
      <c r="X152" s="180"/>
      <c r="Y152" s="180">
        <v>285322</v>
      </c>
      <c r="Z152" s="180">
        <v>1454388</v>
      </c>
      <c r="AA152" s="180">
        <v>136000</v>
      </c>
      <c r="AB152" s="180">
        <v>178249</v>
      </c>
      <c r="AC152" s="180"/>
      <c r="AD152" s="180">
        <v>167569</v>
      </c>
      <c r="AE152" s="180"/>
      <c r="AF152" s="180">
        <v>79709.459999999992</v>
      </c>
      <c r="AG152" s="180"/>
      <c r="AH152" s="180">
        <v>244505</v>
      </c>
      <c r="AI152" s="128"/>
      <c r="AJ152" s="129" t="s">
        <v>122</v>
      </c>
      <c r="AK152" s="180">
        <v>0</v>
      </c>
    </row>
    <row r="153" spans="1:37" ht="25.5">
      <c r="A153" s="253" t="s">
        <v>400</v>
      </c>
      <c r="B153" s="254" t="s">
        <v>401</v>
      </c>
      <c r="C153" s="254" t="s">
        <v>348</v>
      </c>
      <c r="D153" s="255" t="s">
        <v>43</v>
      </c>
      <c r="E153" s="255" t="s">
        <v>44</v>
      </c>
      <c r="F153" s="255" t="s">
        <v>884</v>
      </c>
      <c r="G153" s="255" t="s">
        <v>97</v>
      </c>
      <c r="H153" s="255" t="s">
        <v>45</v>
      </c>
      <c r="I153" s="255" t="s">
        <v>46</v>
      </c>
      <c r="J153" s="180">
        <v>803734894.83907199</v>
      </c>
      <c r="K153" s="180"/>
      <c r="L153" s="128"/>
      <c r="M153" s="129">
        <v>-0.13730000000000001</v>
      </c>
      <c r="N153" s="129">
        <v>5.7099999999999998E-2</v>
      </c>
      <c r="O153" s="250" t="s">
        <v>349</v>
      </c>
      <c r="P153" s="250" t="s">
        <v>350</v>
      </c>
      <c r="Q153" s="250" t="s">
        <v>108</v>
      </c>
      <c r="R153" s="129" t="s">
        <v>351</v>
      </c>
      <c r="S153" s="129" t="s">
        <v>352</v>
      </c>
      <c r="T153" s="129" t="s">
        <v>353</v>
      </c>
      <c r="U153" s="180">
        <f t="shared" si="3"/>
        <v>41381195.239999995</v>
      </c>
      <c r="V153" s="180">
        <v>14251514</v>
      </c>
      <c r="W153" s="180"/>
      <c r="X153" s="180">
        <v>1788094</v>
      </c>
      <c r="Y153" s="180">
        <v>426414</v>
      </c>
      <c r="Z153" s="180">
        <v>1086723</v>
      </c>
      <c r="AA153" s="180">
        <v>201000</v>
      </c>
      <c r="AB153" s="180"/>
      <c r="AC153" s="180"/>
      <c r="AD153" s="180">
        <v>89524</v>
      </c>
      <c r="AE153" s="180"/>
      <c r="AF153" s="180">
        <v>176748.24</v>
      </c>
      <c r="AG153" s="180"/>
      <c r="AH153" s="180">
        <v>23361178</v>
      </c>
      <c r="AI153" s="128"/>
      <c r="AJ153" s="129">
        <v>2.2349734428710199E-2</v>
      </c>
      <c r="AK153" s="180">
        <v>0</v>
      </c>
    </row>
    <row r="154" spans="1:37" ht="51">
      <c r="A154" s="253" t="s">
        <v>402</v>
      </c>
      <c r="B154" s="254" t="s">
        <v>403</v>
      </c>
      <c r="C154" s="254" t="s">
        <v>348</v>
      </c>
      <c r="D154" s="255" t="s">
        <v>43</v>
      </c>
      <c r="E154" s="255" t="s">
        <v>44</v>
      </c>
      <c r="F154" s="255" t="s">
        <v>884</v>
      </c>
      <c r="G154" s="255" t="s">
        <v>97</v>
      </c>
      <c r="H154" s="255" t="s">
        <v>45</v>
      </c>
      <c r="I154" s="255" t="s">
        <v>46</v>
      </c>
      <c r="J154" s="180">
        <v>1395468967.81991</v>
      </c>
      <c r="K154" s="180"/>
      <c r="L154" s="128"/>
      <c r="M154" s="129">
        <v>0.1479</v>
      </c>
      <c r="N154" s="129">
        <v>5.7099999999999998E-2</v>
      </c>
      <c r="O154" s="250" t="s">
        <v>358</v>
      </c>
      <c r="P154" s="250" t="s">
        <v>404</v>
      </c>
      <c r="Q154" s="250" t="s">
        <v>108</v>
      </c>
      <c r="R154" s="129" t="s">
        <v>204</v>
      </c>
      <c r="S154" s="129" t="s">
        <v>352</v>
      </c>
      <c r="T154" s="129" t="s">
        <v>353</v>
      </c>
      <c r="U154" s="180">
        <f t="shared" si="3"/>
        <v>48980898.219999999</v>
      </c>
      <c r="V154" s="180">
        <v>12558762</v>
      </c>
      <c r="W154" s="180">
        <v>33490312</v>
      </c>
      <c r="X154" s="180"/>
      <c r="Y154" s="180">
        <v>1039058</v>
      </c>
      <c r="Z154" s="180">
        <v>1021318</v>
      </c>
      <c r="AA154" s="180">
        <v>349000</v>
      </c>
      <c r="AB154" s="180"/>
      <c r="AC154" s="180"/>
      <c r="AD154" s="180">
        <v>272953.19</v>
      </c>
      <c r="AE154" s="180"/>
      <c r="AF154" s="180">
        <v>182441.03</v>
      </c>
      <c r="AG154" s="180"/>
      <c r="AH154" s="180">
        <v>67054</v>
      </c>
      <c r="AI154" s="129">
        <v>5.9999999999999995E-4</v>
      </c>
      <c r="AJ154" s="129">
        <v>1.0856187199629774E-2</v>
      </c>
      <c r="AK154" s="180">
        <v>0</v>
      </c>
    </row>
    <row r="155" spans="1:37" ht="51">
      <c r="A155" s="253" t="s">
        <v>405</v>
      </c>
      <c r="B155" s="254" t="s">
        <v>406</v>
      </c>
      <c r="C155" s="254" t="s">
        <v>348</v>
      </c>
      <c r="D155" s="255" t="s">
        <v>43</v>
      </c>
      <c r="E155" s="255" t="s">
        <v>44</v>
      </c>
      <c r="F155" s="255" t="s">
        <v>884</v>
      </c>
      <c r="G155" s="255" t="s">
        <v>97</v>
      </c>
      <c r="H155" s="255" t="s">
        <v>45</v>
      </c>
      <c r="I155" s="255" t="s">
        <v>46</v>
      </c>
      <c r="J155" s="180">
        <v>1586382180.78491</v>
      </c>
      <c r="K155" s="180"/>
      <c r="L155" s="128"/>
      <c r="M155" s="129">
        <v>5.8899999999999994E-2</v>
      </c>
      <c r="N155" s="129">
        <v>5.7099999999999998E-2</v>
      </c>
      <c r="O155" s="250" t="s">
        <v>358</v>
      </c>
      <c r="P155" s="250" t="s">
        <v>404</v>
      </c>
      <c r="Q155" s="250" t="s">
        <v>108</v>
      </c>
      <c r="R155" s="129" t="s">
        <v>204</v>
      </c>
      <c r="S155" s="129" t="s">
        <v>352</v>
      </c>
      <c r="T155" s="129" t="s">
        <v>353</v>
      </c>
      <c r="U155" s="180">
        <f t="shared" si="3"/>
        <v>8053253.7599999998</v>
      </c>
      <c r="V155" s="180">
        <v>4133986</v>
      </c>
      <c r="W155" s="180"/>
      <c r="X155" s="180"/>
      <c r="Y155" s="180">
        <v>1182288</v>
      </c>
      <c r="Z155" s="180">
        <v>1021318</v>
      </c>
      <c r="AA155" s="180">
        <v>396000</v>
      </c>
      <c r="AB155" s="180"/>
      <c r="AC155" s="180"/>
      <c r="AD155" s="180">
        <v>1088275</v>
      </c>
      <c r="AE155" s="180"/>
      <c r="AF155" s="180">
        <v>138357.76000000001</v>
      </c>
      <c r="AG155" s="180"/>
      <c r="AH155" s="180">
        <v>93029</v>
      </c>
      <c r="AI155" s="128"/>
      <c r="AJ155" s="129">
        <v>4.3E-3</v>
      </c>
      <c r="AK155" s="180">
        <v>0</v>
      </c>
    </row>
    <row r="156" spans="1:37" ht="63.75">
      <c r="A156" s="259" t="s">
        <v>407</v>
      </c>
      <c r="B156" s="260"/>
      <c r="C156" s="261" t="s">
        <v>348</v>
      </c>
      <c r="D156" s="262"/>
      <c r="E156" s="262"/>
      <c r="F156" s="262"/>
      <c r="G156" s="262"/>
      <c r="H156" s="262"/>
      <c r="I156" s="262"/>
      <c r="J156" s="187">
        <f>+J157+J158</f>
        <v>1103627998.270155</v>
      </c>
      <c r="K156" s="182"/>
      <c r="L156" s="263"/>
      <c r="M156" s="263"/>
      <c r="N156" s="133">
        <v>0</v>
      </c>
      <c r="O156" s="264" t="s">
        <v>358</v>
      </c>
      <c r="P156" s="264" t="s">
        <v>408</v>
      </c>
      <c r="Q156" s="264" t="s">
        <v>108</v>
      </c>
      <c r="R156" s="133" t="s">
        <v>409</v>
      </c>
      <c r="S156" s="133"/>
      <c r="T156" s="133"/>
      <c r="U156" s="265">
        <f t="shared" si="3"/>
        <v>9412620.5500000007</v>
      </c>
      <c r="V156" s="265">
        <v>3847533</v>
      </c>
      <c r="W156" s="265"/>
      <c r="X156" s="265">
        <v>410450</v>
      </c>
      <c r="Y156" s="265">
        <v>822162</v>
      </c>
      <c r="Z156" s="265">
        <v>1021318</v>
      </c>
      <c r="AA156" s="265">
        <v>282000</v>
      </c>
      <c r="AB156" s="265"/>
      <c r="AC156" s="187"/>
      <c r="AD156" s="265">
        <v>1670958.97</v>
      </c>
      <c r="AE156" s="187"/>
      <c r="AF156" s="265">
        <v>102471.58</v>
      </c>
      <c r="AG156" s="187"/>
      <c r="AH156" s="265">
        <v>1255727</v>
      </c>
      <c r="AI156" s="133"/>
      <c r="AJ156" s="134"/>
      <c r="AK156" s="182"/>
    </row>
    <row r="157" spans="1:37" ht="63.75">
      <c r="A157" s="253" t="s">
        <v>410</v>
      </c>
      <c r="B157" s="254" t="s">
        <v>411</v>
      </c>
      <c r="C157" s="254" t="s">
        <v>348</v>
      </c>
      <c r="D157" s="255" t="s">
        <v>43</v>
      </c>
      <c r="E157" s="255" t="s">
        <v>44</v>
      </c>
      <c r="F157" s="255" t="s">
        <v>884</v>
      </c>
      <c r="G157" s="255" t="s">
        <v>97</v>
      </c>
      <c r="H157" s="255" t="s">
        <v>45</v>
      </c>
      <c r="I157" s="255" t="s">
        <v>46</v>
      </c>
      <c r="J157" s="180">
        <v>1034665865.8508</v>
      </c>
      <c r="K157" s="180"/>
      <c r="L157" s="128"/>
      <c r="M157" s="129">
        <v>-7.6799999999999993E-2</v>
      </c>
      <c r="N157" s="129">
        <v>5.7099999999999998E-2</v>
      </c>
      <c r="O157" s="250" t="s">
        <v>412</v>
      </c>
      <c r="P157" s="250" t="s">
        <v>413</v>
      </c>
      <c r="Q157" s="250" t="s">
        <v>108</v>
      </c>
      <c r="R157" s="129"/>
      <c r="S157" s="129" t="s">
        <v>352</v>
      </c>
      <c r="T157" s="129" t="s">
        <v>353</v>
      </c>
      <c r="U157" s="180"/>
      <c r="V157" s="180">
        <v>3437083.8506492195</v>
      </c>
      <c r="W157" s="180"/>
      <c r="X157" s="180"/>
      <c r="Y157" s="180"/>
      <c r="Z157" s="180"/>
      <c r="AA157" s="180"/>
      <c r="AB157" s="180"/>
      <c r="AC157" s="180"/>
      <c r="AD157" s="180"/>
      <c r="AE157" s="180"/>
      <c r="AF157" s="180"/>
      <c r="AG157" s="180"/>
      <c r="AH157" s="180"/>
      <c r="AI157" s="129">
        <v>2.0000000000000001E-4</v>
      </c>
      <c r="AJ157" s="129">
        <v>5.5139372674988876E-3</v>
      </c>
      <c r="AK157" s="180">
        <v>0</v>
      </c>
    </row>
    <row r="158" spans="1:37" ht="51">
      <c r="A158" s="253" t="s">
        <v>414</v>
      </c>
      <c r="B158" s="254" t="s">
        <v>415</v>
      </c>
      <c r="C158" s="254" t="s">
        <v>348</v>
      </c>
      <c r="D158" s="255" t="s">
        <v>43</v>
      </c>
      <c r="E158" s="255" t="s">
        <v>44</v>
      </c>
      <c r="F158" s="255" t="s">
        <v>884</v>
      </c>
      <c r="G158" s="255" t="s">
        <v>97</v>
      </c>
      <c r="H158" s="255" t="s">
        <v>45</v>
      </c>
      <c r="I158" s="255" t="s">
        <v>46</v>
      </c>
      <c r="J158" s="180">
        <v>68962132.419354796</v>
      </c>
      <c r="K158" s="180"/>
      <c r="L158" s="128"/>
      <c r="M158" s="129">
        <v>-8.7499999999999994E-2</v>
      </c>
      <c r="N158" s="129">
        <v>5.7099999999999998E-2</v>
      </c>
      <c r="O158" s="250" t="s">
        <v>412</v>
      </c>
      <c r="P158" s="250" t="s">
        <v>416</v>
      </c>
      <c r="Q158" s="250" t="s">
        <v>108</v>
      </c>
      <c r="R158" s="129"/>
      <c r="S158" s="129" t="s">
        <v>352</v>
      </c>
      <c r="T158" s="129" t="s">
        <v>353</v>
      </c>
      <c r="U158" s="180"/>
      <c r="V158" s="180">
        <v>410450.07467539044</v>
      </c>
      <c r="W158" s="180"/>
      <c r="X158" s="180"/>
      <c r="Y158" s="180"/>
      <c r="Z158" s="180"/>
      <c r="AA158" s="180"/>
      <c r="AB158" s="180"/>
      <c r="AC158" s="180"/>
      <c r="AD158" s="180"/>
      <c r="AE158" s="180"/>
      <c r="AF158" s="180"/>
      <c r="AG158" s="180"/>
      <c r="AH158" s="180"/>
      <c r="AI158" s="129">
        <v>2.0000000000000001E-4</v>
      </c>
      <c r="AJ158" s="129">
        <v>2.2013937267498888E-2</v>
      </c>
      <c r="AK158" s="180">
        <v>0</v>
      </c>
    </row>
    <row r="159" spans="1:37" ht="51">
      <c r="A159" s="253" t="s">
        <v>417</v>
      </c>
      <c r="B159" s="254" t="s">
        <v>418</v>
      </c>
      <c r="C159" s="254" t="s">
        <v>348</v>
      </c>
      <c r="D159" s="255" t="s">
        <v>43</v>
      </c>
      <c r="E159" s="255" t="s">
        <v>44</v>
      </c>
      <c r="F159" s="255" t="s">
        <v>884</v>
      </c>
      <c r="G159" s="255" t="s">
        <v>97</v>
      </c>
      <c r="H159" s="255" t="s">
        <v>45</v>
      </c>
      <c r="I159" s="255" t="s">
        <v>46</v>
      </c>
      <c r="J159" s="180">
        <v>3092657276.5718098</v>
      </c>
      <c r="K159" s="180"/>
      <c r="L159" s="128"/>
      <c r="M159" s="129">
        <v>0.11380000000000001</v>
      </c>
      <c r="N159" s="129">
        <v>5.7099999999999998E-2</v>
      </c>
      <c r="O159" s="250" t="s">
        <v>358</v>
      </c>
      <c r="P159" s="250" t="s">
        <v>419</v>
      </c>
      <c r="Q159" s="250" t="s">
        <v>108</v>
      </c>
      <c r="R159" s="129" t="s">
        <v>204</v>
      </c>
      <c r="S159" s="129" t="s">
        <v>352</v>
      </c>
      <c r="T159" s="129" t="s">
        <v>353</v>
      </c>
      <c r="U159" s="180">
        <f t="shared" si="3"/>
        <v>11831578.99</v>
      </c>
      <c r="V159" s="266">
        <v>6374365</v>
      </c>
      <c r="W159" s="266"/>
      <c r="X159" s="266"/>
      <c r="Y159" s="266">
        <v>2302949</v>
      </c>
      <c r="Z159" s="266">
        <v>1086723</v>
      </c>
      <c r="AA159" s="266">
        <v>774000</v>
      </c>
      <c r="AB159" s="266"/>
      <c r="AC159" s="180"/>
      <c r="AD159" s="266">
        <v>960474.24</v>
      </c>
      <c r="AE159" s="180"/>
      <c r="AF159" s="266">
        <v>120843.75</v>
      </c>
      <c r="AG159" s="180"/>
      <c r="AH159" s="266">
        <v>212224</v>
      </c>
      <c r="AI159" s="128"/>
      <c r="AJ159" s="129">
        <v>3.3999999999999998E-3</v>
      </c>
      <c r="AK159" s="180">
        <v>0</v>
      </c>
    </row>
    <row r="160" spans="1:37" ht="63.75">
      <c r="A160" s="259" t="s">
        <v>420</v>
      </c>
      <c r="B160" s="260"/>
      <c r="C160" s="261" t="s">
        <v>348</v>
      </c>
      <c r="D160" s="262"/>
      <c r="E160" s="262"/>
      <c r="F160" s="262"/>
      <c r="G160" s="262"/>
      <c r="H160" s="262"/>
      <c r="I160" s="262"/>
      <c r="J160" s="187">
        <f>+J161+J162</f>
        <v>30426533915.507896</v>
      </c>
      <c r="K160" s="182"/>
      <c r="L160" s="263"/>
      <c r="M160" s="263"/>
      <c r="N160" s="133">
        <v>0</v>
      </c>
      <c r="O160" s="264" t="s">
        <v>358</v>
      </c>
      <c r="P160" s="264" t="s">
        <v>421</v>
      </c>
      <c r="Q160" s="264" t="s">
        <v>108</v>
      </c>
      <c r="R160" s="133" t="s">
        <v>409</v>
      </c>
      <c r="S160" s="133"/>
      <c r="T160" s="133"/>
      <c r="U160" s="265">
        <f t="shared" si="3"/>
        <v>932146262.85000002</v>
      </c>
      <c r="V160" s="265">
        <v>243470119</v>
      </c>
      <c r="W160" s="265">
        <v>513905996</v>
      </c>
      <c r="X160" s="265">
        <v>125485852</v>
      </c>
      <c r="Y160" s="265">
        <v>22540111</v>
      </c>
      <c r="Z160" s="265">
        <v>1033090.9</v>
      </c>
      <c r="AA160" s="265">
        <v>8262000</v>
      </c>
      <c r="AB160" s="265">
        <v>4980112</v>
      </c>
      <c r="AC160" s="187"/>
      <c r="AD160" s="265">
        <v>7113555.3600000003</v>
      </c>
      <c r="AE160" s="187"/>
      <c r="AF160" s="265">
        <v>726854.59</v>
      </c>
      <c r="AG160" s="187"/>
      <c r="AH160" s="265">
        <v>4628572</v>
      </c>
      <c r="AI160" s="133"/>
      <c r="AJ160" s="134"/>
      <c r="AK160" s="182"/>
    </row>
    <row r="161" spans="1:37" ht="63.75">
      <c r="A161" s="253" t="s">
        <v>422</v>
      </c>
      <c r="B161" s="254" t="s">
        <v>423</v>
      </c>
      <c r="C161" s="254" t="s">
        <v>348</v>
      </c>
      <c r="D161" s="255" t="s">
        <v>43</v>
      </c>
      <c r="E161" s="255" t="s">
        <v>44</v>
      </c>
      <c r="F161" s="255" t="s">
        <v>884</v>
      </c>
      <c r="G161" s="255" t="s">
        <v>97</v>
      </c>
      <c r="H161" s="255" t="s">
        <v>45</v>
      </c>
      <c r="I161" s="255" t="s">
        <v>46</v>
      </c>
      <c r="J161" s="180">
        <v>11000564545.649099</v>
      </c>
      <c r="K161" s="180"/>
      <c r="L161" s="128"/>
      <c r="M161" s="129">
        <v>0.19589999999999999</v>
      </c>
      <c r="N161" s="129">
        <v>5.7099999999999998E-2</v>
      </c>
      <c r="O161" s="250" t="s">
        <v>412</v>
      </c>
      <c r="P161" s="250" t="s">
        <v>413</v>
      </c>
      <c r="Q161" s="250" t="s">
        <v>108</v>
      </c>
      <c r="R161" s="129"/>
      <c r="S161" s="129" t="s">
        <v>352</v>
      </c>
      <c r="T161" s="129" t="s">
        <v>353</v>
      </c>
      <c r="U161" s="180"/>
      <c r="V161" s="180">
        <v>117984267.95775864</v>
      </c>
      <c r="W161" s="180">
        <v>0</v>
      </c>
      <c r="X161" s="180"/>
      <c r="Y161" s="180"/>
      <c r="Z161" s="180"/>
      <c r="AA161" s="180"/>
      <c r="AB161" s="180"/>
      <c r="AC161" s="180"/>
      <c r="AD161" s="180"/>
      <c r="AE161" s="180"/>
      <c r="AF161" s="180"/>
      <c r="AG161" s="180"/>
      <c r="AH161" s="180"/>
      <c r="AI161" s="128"/>
      <c r="AJ161" s="129">
        <v>6.2080251273920013E-3</v>
      </c>
      <c r="AK161" s="180">
        <v>0</v>
      </c>
    </row>
    <row r="162" spans="1:37" ht="63.75">
      <c r="A162" s="253" t="s">
        <v>424</v>
      </c>
      <c r="B162" s="254" t="s">
        <v>425</v>
      </c>
      <c r="C162" s="254" t="s">
        <v>348</v>
      </c>
      <c r="D162" s="255" t="s">
        <v>43</v>
      </c>
      <c r="E162" s="255" t="s">
        <v>44</v>
      </c>
      <c r="F162" s="255" t="s">
        <v>884</v>
      </c>
      <c r="G162" s="255" t="s">
        <v>97</v>
      </c>
      <c r="H162" s="255" t="s">
        <v>45</v>
      </c>
      <c r="I162" s="255" t="s">
        <v>46</v>
      </c>
      <c r="J162" s="180">
        <v>19425969369.858799</v>
      </c>
      <c r="K162" s="180"/>
      <c r="L162" s="128"/>
      <c r="M162" s="129">
        <v>0.17190000000000003</v>
      </c>
      <c r="N162" s="129">
        <v>5.7099999999999998E-2</v>
      </c>
      <c r="O162" s="250" t="s">
        <v>412</v>
      </c>
      <c r="P162" s="250" t="s">
        <v>413</v>
      </c>
      <c r="Q162" s="250" t="s">
        <v>108</v>
      </c>
      <c r="R162" s="129"/>
      <c r="S162" s="129" t="s">
        <v>352</v>
      </c>
      <c r="T162" s="129" t="s">
        <v>353</v>
      </c>
      <c r="U162" s="180"/>
      <c r="V162" s="180">
        <v>125485851.02112067</v>
      </c>
      <c r="W162" s="180">
        <v>513905996</v>
      </c>
      <c r="X162" s="180"/>
      <c r="Y162" s="180"/>
      <c r="Z162" s="180"/>
      <c r="AA162" s="180"/>
      <c r="AB162" s="180"/>
      <c r="AC162" s="180"/>
      <c r="AD162" s="180"/>
      <c r="AE162" s="180"/>
      <c r="AF162" s="180"/>
      <c r="AG162" s="180"/>
      <c r="AH162" s="180"/>
      <c r="AI162" s="128"/>
      <c r="AJ162" s="129">
        <v>1.7208025127392002E-2</v>
      </c>
      <c r="AK162" s="180">
        <v>0</v>
      </c>
    </row>
    <row r="163" spans="1:37">
      <c r="A163" s="253" t="s">
        <v>426</v>
      </c>
      <c r="B163" s="254" t="s">
        <v>427</v>
      </c>
      <c r="C163" s="254" t="s">
        <v>348</v>
      </c>
      <c r="D163" s="255" t="s">
        <v>43</v>
      </c>
      <c r="E163" s="255" t="s">
        <v>44</v>
      </c>
      <c r="F163" s="255" t="s">
        <v>55</v>
      </c>
      <c r="G163" s="255" t="s">
        <v>97</v>
      </c>
      <c r="H163" s="255" t="s">
        <v>45</v>
      </c>
      <c r="I163" s="255" t="s">
        <v>46</v>
      </c>
      <c r="J163" s="180">
        <v>654232250.81354797</v>
      </c>
      <c r="K163" s="180"/>
      <c r="L163" s="128"/>
      <c r="M163" s="129">
        <v>8.6699999999999999E-2</v>
      </c>
      <c r="N163" s="129">
        <v>5.7099999999999998E-2</v>
      </c>
      <c r="O163" s="250" t="s">
        <v>428</v>
      </c>
      <c r="P163" s="250" t="s">
        <v>92</v>
      </c>
      <c r="Q163" s="250" t="s">
        <v>122</v>
      </c>
      <c r="R163" s="129" t="s">
        <v>351</v>
      </c>
      <c r="S163" s="129" t="s">
        <v>352</v>
      </c>
      <c r="T163" s="129" t="s">
        <v>353</v>
      </c>
      <c r="U163" s="180">
        <f t="shared" si="3"/>
        <v>6824858.5</v>
      </c>
      <c r="V163" s="266">
        <v>3147977</v>
      </c>
      <c r="W163" s="266"/>
      <c r="X163" s="266">
        <v>783549</v>
      </c>
      <c r="Y163" s="266">
        <v>277600</v>
      </c>
      <c r="Z163" s="266">
        <v>1033090.9</v>
      </c>
      <c r="AA163" s="266">
        <v>176000</v>
      </c>
      <c r="AB163" s="180"/>
      <c r="AC163" s="180"/>
      <c r="AD163" s="266">
        <v>1382017.34</v>
      </c>
      <c r="AE163" s="180"/>
      <c r="AF163" s="266">
        <v>24624.26</v>
      </c>
      <c r="AG163" s="180"/>
      <c r="AH163" s="180"/>
      <c r="AI163" s="129">
        <v>1.52E-2</v>
      </c>
      <c r="AJ163" s="129">
        <v>2.3300000000000001E-2</v>
      </c>
      <c r="AK163" s="180">
        <v>0</v>
      </c>
    </row>
    <row r="164" spans="1:37">
      <c r="A164" s="253" t="s">
        <v>429</v>
      </c>
      <c r="B164" s="254" t="s">
        <v>430</v>
      </c>
      <c r="C164" s="254" t="s">
        <v>348</v>
      </c>
      <c r="D164" s="255" t="s">
        <v>43</v>
      </c>
      <c r="E164" s="255" t="s">
        <v>44</v>
      </c>
      <c r="F164" s="255" t="s">
        <v>55</v>
      </c>
      <c r="G164" s="255" t="s">
        <v>97</v>
      </c>
      <c r="H164" s="255" t="s">
        <v>45</v>
      </c>
      <c r="I164" s="255" t="s">
        <v>46</v>
      </c>
      <c r="J164" s="180">
        <v>34267804.316209599</v>
      </c>
      <c r="K164" s="180"/>
      <c r="L164" s="128"/>
      <c r="M164" s="129">
        <v>8.1099999999999992E-2</v>
      </c>
      <c r="N164" s="129">
        <v>5.7099999999999998E-2</v>
      </c>
      <c r="O164" s="250" t="s">
        <v>428</v>
      </c>
      <c r="P164" s="250" t="s">
        <v>92</v>
      </c>
      <c r="Q164" s="250" t="s">
        <v>122</v>
      </c>
      <c r="R164" s="129" t="s">
        <v>351</v>
      </c>
      <c r="S164" s="129" t="s">
        <v>352</v>
      </c>
      <c r="T164" s="129" t="s">
        <v>353</v>
      </c>
      <c r="U164" s="180">
        <f t="shared" si="3"/>
        <v>1098591.8999999999</v>
      </c>
      <c r="V164" s="266">
        <v>4995</v>
      </c>
      <c r="W164" s="266"/>
      <c r="X164" s="266"/>
      <c r="Y164" s="266">
        <v>13706</v>
      </c>
      <c r="Z164" s="266">
        <v>1033090.9</v>
      </c>
      <c r="AA164" s="266">
        <v>9000</v>
      </c>
      <c r="AB164" s="180"/>
      <c r="AC164" s="180"/>
      <c r="AD164" s="266">
        <v>23200</v>
      </c>
      <c r="AE164" s="180"/>
      <c r="AF164" s="266">
        <v>14600</v>
      </c>
      <c r="AG164" s="180"/>
      <c r="AH164" s="180"/>
      <c r="AI164" s="129">
        <v>1.6299999999999999E-2</v>
      </c>
      <c r="AJ164" s="129">
        <v>4.7554283212154193E-2</v>
      </c>
      <c r="AK164" s="180">
        <v>0</v>
      </c>
    </row>
    <row r="165" spans="1:37">
      <c r="A165" s="226" t="s">
        <v>433</v>
      </c>
      <c r="B165" s="121" t="s">
        <v>434</v>
      </c>
      <c r="C165" s="121" t="s">
        <v>435</v>
      </c>
      <c r="D165" s="121" t="s">
        <v>43</v>
      </c>
      <c r="E165" s="121" t="s">
        <v>44</v>
      </c>
      <c r="F165" s="121" t="s">
        <v>1348</v>
      </c>
      <c r="G165" s="121" t="s">
        <v>641</v>
      </c>
      <c r="H165" s="121" t="s">
        <v>45</v>
      </c>
      <c r="I165" s="121" t="s">
        <v>46</v>
      </c>
      <c r="J165" s="177">
        <v>2427549784.3346772</v>
      </c>
      <c r="M165" s="267">
        <v>3.3799999999999997E-2</v>
      </c>
      <c r="N165" s="267">
        <v>4.7E-2</v>
      </c>
      <c r="O165" s="94">
        <v>8.0000000000000002E-3</v>
      </c>
      <c r="P165" s="250"/>
      <c r="Q165" s="250"/>
      <c r="R165" s="135">
        <v>8.0000000000000004E-4</v>
      </c>
      <c r="S165" s="129"/>
      <c r="T165" s="135">
        <v>1.15E-2</v>
      </c>
      <c r="U165" s="266">
        <v>28115000</v>
      </c>
      <c r="V165" s="266">
        <v>22186000</v>
      </c>
      <c r="W165" s="266">
        <v>0</v>
      </c>
      <c r="X165" s="266">
        <v>0</v>
      </c>
      <c r="Y165" s="266">
        <v>1962000</v>
      </c>
      <c r="Z165" s="266">
        <v>2172000</v>
      </c>
      <c r="AA165" s="266">
        <v>613000</v>
      </c>
      <c r="AB165" s="266">
        <v>659000</v>
      </c>
      <c r="AC165" s="266">
        <v>0</v>
      </c>
      <c r="AD165" s="266">
        <v>365000</v>
      </c>
      <c r="AE165" s="180">
        <v>0</v>
      </c>
      <c r="AF165" s="266">
        <v>158000</v>
      </c>
      <c r="AG165" s="180">
        <v>0</v>
      </c>
      <c r="AH165" s="180">
        <v>0</v>
      </c>
      <c r="AI165" s="128">
        <v>0</v>
      </c>
      <c r="AJ165" s="135" t="s">
        <v>436</v>
      </c>
      <c r="AK165" s="180">
        <v>0</v>
      </c>
    </row>
    <row r="166" spans="1:37">
      <c r="A166" s="226" t="s">
        <v>437</v>
      </c>
      <c r="B166" s="121" t="s">
        <v>438</v>
      </c>
      <c r="C166" s="121" t="s">
        <v>435</v>
      </c>
      <c r="D166" s="121" t="s">
        <v>43</v>
      </c>
      <c r="E166" s="121" t="s">
        <v>44</v>
      </c>
      <c r="F166" s="121" t="s">
        <v>1348</v>
      </c>
      <c r="G166" s="121" t="s">
        <v>58</v>
      </c>
      <c r="H166" s="121" t="s">
        <v>45</v>
      </c>
      <c r="I166" s="121" t="s">
        <v>46</v>
      </c>
      <c r="J166" s="177">
        <v>241824683.33870968</v>
      </c>
      <c r="M166" s="267">
        <v>0.28289999999999998</v>
      </c>
      <c r="N166" s="267">
        <v>-8.0999999999999996E-3</v>
      </c>
      <c r="O166" s="94">
        <v>1.0999999999999999E-2</v>
      </c>
      <c r="P166" s="250"/>
      <c r="Q166" s="250"/>
      <c r="R166" s="135">
        <v>2.5000000000000001E-3</v>
      </c>
      <c r="S166" s="129"/>
      <c r="T166" s="135">
        <v>2.7E-2</v>
      </c>
      <c r="U166" s="266">
        <v>8249000</v>
      </c>
      <c r="V166" s="266">
        <v>3333000</v>
      </c>
      <c r="W166" s="266">
        <v>0</v>
      </c>
      <c r="X166" s="266">
        <v>0</v>
      </c>
      <c r="Y166" s="266">
        <v>229000</v>
      </c>
      <c r="Z166" s="266">
        <v>2743000</v>
      </c>
      <c r="AA166" s="266">
        <v>60000</v>
      </c>
      <c r="AB166" s="266">
        <v>53000</v>
      </c>
      <c r="AC166" s="266">
        <v>0</v>
      </c>
      <c r="AD166" s="266">
        <v>1731000</v>
      </c>
      <c r="AE166" s="180">
        <v>0</v>
      </c>
      <c r="AF166" s="266">
        <v>100000</v>
      </c>
      <c r="AG166" s="180">
        <v>0</v>
      </c>
      <c r="AH166" s="180">
        <v>0</v>
      </c>
      <c r="AI166" s="128">
        <v>0</v>
      </c>
      <c r="AJ166" s="135" t="s">
        <v>439</v>
      </c>
      <c r="AK166" s="180">
        <v>0</v>
      </c>
    </row>
    <row r="167" spans="1:37">
      <c r="A167" s="226" t="s">
        <v>440</v>
      </c>
      <c r="B167" s="121" t="s">
        <v>441</v>
      </c>
      <c r="C167" s="121" t="s">
        <v>435</v>
      </c>
      <c r="D167" s="121" t="s">
        <v>43</v>
      </c>
      <c r="E167" s="121" t="s">
        <v>44</v>
      </c>
      <c r="F167" s="121" t="s">
        <v>1348</v>
      </c>
      <c r="G167" s="121" t="s">
        <v>58</v>
      </c>
      <c r="H167" s="121" t="s">
        <v>45</v>
      </c>
      <c r="I167" s="121" t="s">
        <v>46</v>
      </c>
      <c r="J167" s="177">
        <v>509938240.59274191</v>
      </c>
      <c r="M167" s="267">
        <v>-1.41E-2</v>
      </c>
      <c r="N167" s="267">
        <v>-6.1600000000000002E-2</v>
      </c>
      <c r="O167" s="94">
        <v>1.7500000000000002E-2</v>
      </c>
      <c r="P167" s="250"/>
      <c r="Q167" s="250"/>
      <c r="R167" s="135">
        <v>2.5000000000000001E-3</v>
      </c>
      <c r="S167" s="129"/>
      <c r="T167" s="135">
        <v>2.7E-2</v>
      </c>
      <c r="U167" s="266">
        <v>14750000</v>
      </c>
      <c r="V167" s="266">
        <v>9982000</v>
      </c>
      <c r="W167" s="266">
        <v>0</v>
      </c>
      <c r="X167" s="266">
        <v>0</v>
      </c>
      <c r="Y167" s="266">
        <v>473000</v>
      </c>
      <c r="Z167" s="266">
        <v>2870000</v>
      </c>
      <c r="AA167" s="266">
        <v>127000</v>
      </c>
      <c r="AB167" s="266">
        <v>99000</v>
      </c>
      <c r="AC167" s="266">
        <v>0</v>
      </c>
      <c r="AD167" s="266">
        <v>1127000</v>
      </c>
      <c r="AE167" s="180">
        <v>0</v>
      </c>
      <c r="AF167" s="266">
        <v>72000</v>
      </c>
      <c r="AG167" s="180">
        <v>0</v>
      </c>
      <c r="AH167" s="180">
        <v>0</v>
      </c>
      <c r="AI167" s="128">
        <v>0</v>
      </c>
      <c r="AJ167" s="135" t="s">
        <v>439</v>
      </c>
      <c r="AK167" s="180">
        <v>0</v>
      </c>
    </row>
    <row r="168" spans="1:37">
      <c r="A168" s="226" t="s">
        <v>442</v>
      </c>
      <c r="B168" s="121" t="s">
        <v>443</v>
      </c>
      <c r="C168" s="121" t="s">
        <v>435</v>
      </c>
      <c r="D168" s="121" t="s">
        <v>43</v>
      </c>
      <c r="E168" s="121" t="s">
        <v>44</v>
      </c>
      <c r="F168" s="121" t="s">
        <v>884</v>
      </c>
      <c r="G168" s="121" t="s">
        <v>97</v>
      </c>
      <c r="H168" s="121" t="s">
        <v>45</v>
      </c>
      <c r="I168" s="121" t="s">
        <v>46</v>
      </c>
      <c r="J168" s="177">
        <v>2286513508.9395161</v>
      </c>
      <c r="M168" s="267">
        <v>6.9000000000000006E-2</v>
      </c>
      <c r="N168" s="267">
        <v>4.6699999999999998E-2</v>
      </c>
      <c r="O168" s="94">
        <v>2.3E-2</v>
      </c>
      <c r="P168" s="250">
        <v>2.5000000000000001E-3</v>
      </c>
      <c r="Q168" s="250" t="s">
        <v>444</v>
      </c>
      <c r="R168" s="135">
        <v>8.4999999999999995E-4</v>
      </c>
      <c r="S168" s="129"/>
      <c r="T168" s="135">
        <v>2.7E-2</v>
      </c>
      <c r="U168" s="266">
        <v>78395000</v>
      </c>
      <c r="V168" s="266">
        <v>54246000</v>
      </c>
      <c r="W168" s="266">
        <v>17605000</v>
      </c>
      <c r="X168" s="266">
        <v>0</v>
      </c>
      <c r="Y168" s="266">
        <v>1942000</v>
      </c>
      <c r="Z168" s="266">
        <v>2870000</v>
      </c>
      <c r="AA168" s="266">
        <v>571000</v>
      </c>
      <c r="AB168" s="266">
        <v>582000</v>
      </c>
      <c r="AC168" s="266">
        <v>0</v>
      </c>
      <c r="AD168" s="266">
        <v>455000</v>
      </c>
      <c r="AE168" s="180">
        <v>0</v>
      </c>
      <c r="AF168" s="266">
        <v>124000</v>
      </c>
      <c r="AG168" s="180">
        <v>0</v>
      </c>
      <c r="AH168" s="180">
        <v>0</v>
      </c>
      <c r="AI168" s="128">
        <v>0</v>
      </c>
      <c r="AJ168" s="135" t="s">
        <v>439</v>
      </c>
      <c r="AK168" s="180">
        <v>0</v>
      </c>
    </row>
    <row r="169" spans="1:37">
      <c r="A169" s="226" t="s">
        <v>445</v>
      </c>
      <c r="B169" s="121" t="s">
        <v>446</v>
      </c>
      <c r="C169" s="121" t="s">
        <v>435</v>
      </c>
      <c r="D169" s="121" t="s">
        <v>43</v>
      </c>
      <c r="E169" s="121" t="s">
        <v>44</v>
      </c>
      <c r="F169" s="121" t="s">
        <v>884</v>
      </c>
      <c r="G169" s="121" t="s">
        <v>97</v>
      </c>
      <c r="H169" s="121" t="s">
        <v>45</v>
      </c>
      <c r="I169" s="121" t="s">
        <v>69</v>
      </c>
      <c r="J169" s="177">
        <v>5981068.7377553238</v>
      </c>
      <c r="M169" s="267">
        <v>0.1033</v>
      </c>
      <c r="N169" s="267">
        <v>3.3999999999999998E-3</v>
      </c>
      <c r="O169" s="94">
        <v>1.9E-2</v>
      </c>
      <c r="P169" s="250">
        <v>2.5000000000000001E-3</v>
      </c>
      <c r="Q169" s="250" t="s">
        <v>444</v>
      </c>
      <c r="R169" s="135">
        <v>8.4999999999999995E-4</v>
      </c>
      <c r="S169" s="129"/>
      <c r="T169" s="135">
        <v>2.7E-2</v>
      </c>
      <c r="U169" s="266">
        <v>324395</v>
      </c>
      <c r="V169" s="266">
        <v>118074</v>
      </c>
      <c r="W169" s="266">
        <v>184614</v>
      </c>
      <c r="X169" s="266">
        <v>0</v>
      </c>
      <c r="Y169" s="266">
        <v>5122</v>
      </c>
      <c r="Z169" s="266">
        <v>9605.7999999999993</v>
      </c>
      <c r="AA169" s="266">
        <v>1504</v>
      </c>
      <c r="AB169" s="266">
        <v>2005</v>
      </c>
      <c r="AC169" s="266">
        <v>0</v>
      </c>
      <c r="AD169" s="266">
        <v>2902</v>
      </c>
      <c r="AE169" s="180">
        <v>0</v>
      </c>
      <c r="AF169" s="266">
        <v>568</v>
      </c>
      <c r="AG169" s="180">
        <v>0</v>
      </c>
      <c r="AH169" s="180">
        <v>0</v>
      </c>
      <c r="AI169" s="128">
        <v>0</v>
      </c>
      <c r="AJ169" s="135" t="s">
        <v>439</v>
      </c>
      <c r="AK169" s="180">
        <v>0</v>
      </c>
    </row>
    <row r="170" spans="1:37">
      <c r="A170" s="226" t="s">
        <v>447</v>
      </c>
      <c r="B170" s="121" t="s">
        <v>448</v>
      </c>
      <c r="C170" s="121" t="s">
        <v>435</v>
      </c>
      <c r="D170" s="121" t="s">
        <v>43</v>
      </c>
      <c r="E170" s="121" t="s">
        <v>44</v>
      </c>
      <c r="F170" s="121" t="s">
        <v>884</v>
      </c>
      <c r="G170" s="121" t="s">
        <v>97</v>
      </c>
      <c r="H170" s="121" t="s">
        <v>45</v>
      </c>
      <c r="I170" s="121" t="s">
        <v>46</v>
      </c>
      <c r="J170" s="177">
        <v>1381146828.6330645</v>
      </c>
      <c r="M170" s="267">
        <v>0.15090000000000001</v>
      </c>
      <c r="N170" s="267">
        <v>4.6699999999999998E-2</v>
      </c>
      <c r="O170" s="94">
        <v>1.95E-2</v>
      </c>
      <c r="P170" s="250">
        <v>2.5000000000000001E-3</v>
      </c>
      <c r="Q170" s="250" t="s">
        <v>444</v>
      </c>
      <c r="R170" s="135">
        <v>8.4999999999999995E-4</v>
      </c>
      <c r="S170" s="129"/>
      <c r="T170" s="135">
        <v>2.7E-2</v>
      </c>
      <c r="U170" s="266">
        <v>78869000</v>
      </c>
      <c r="V170" s="266">
        <v>27591000</v>
      </c>
      <c r="W170" s="266">
        <v>44290000</v>
      </c>
      <c r="X170" s="266">
        <v>0</v>
      </c>
      <c r="Y170" s="266">
        <v>1182000</v>
      </c>
      <c r="Z170" s="266">
        <v>2235000</v>
      </c>
      <c r="AA170" s="266">
        <v>348000</v>
      </c>
      <c r="AB170" s="266">
        <v>221000</v>
      </c>
      <c r="AC170" s="266">
        <v>0</v>
      </c>
      <c r="AD170" s="266">
        <v>2840000</v>
      </c>
      <c r="AE170" s="180">
        <v>0</v>
      </c>
      <c r="AF170" s="266">
        <v>162000</v>
      </c>
      <c r="AG170" s="180">
        <v>0</v>
      </c>
      <c r="AH170" s="180">
        <v>0</v>
      </c>
      <c r="AI170" s="128">
        <v>0</v>
      </c>
      <c r="AJ170" s="135" t="s">
        <v>439</v>
      </c>
      <c r="AK170" s="180">
        <v>0</v>
      </c>
    </row>
    <row r="171" spans="1:37">
      <c r="A171" s="226" t="s">
        <v>449</v>
      </c>
      <c r="B171" s="121" t="s">
        <v>450</v>
      </c>
      <c r="C171" s="121" t="s">
        <v>435</v>
      </c>
      <c r="D171" s="121" t="s">
        <v>553</v>
      </c>
      <c r="E171" s="268" t="s">
        <v>621</v>
      </c>
      <c r="F171" s="121" t="s">
        <v>884</v>
      </c>
      <c r="G171" s="121" t="s">
        <v>622</v>
      </c>
      <c r="H171" s="121" t="s">
        <v>45</v>
      </c>
      <c r="I171" s="121" t="s">
        <v>46</v>
      </c>
      <c r="J171" s="177">
        <v>345529004.07258064</v>
      </c>
      <c r="M171" s="267">
        <v>4.4499999999999998E-2</v>
      </c>
      <c r="N171" s="269"/>
      <c r="O171" s="94">
        <v>2.3E-2</v>
      </c>
      <c r="P171" s="250"/>
      <c r="Q171" s="250"/>
      <c r="R171" s="135">
        <v>8.4999999999999995E-4</v>
      </c>
      <c r="S171" s="129"/>
      <c r="T171" s="135"/>
      <c r="U171" s="266">
        <v>14546000</v>
      </c>
      <c r="V171" s="266">
        <v>11680000</v>
      </c>
      <c r="W171" s="266">
        <v>0</v>
      </c>
      <c r="X171" s="266">
        <v>0</v>
      </c>
      <c r="Y171" s="266">
        <v>900000</v>
      </c>
      <c r="Z171" s="266">
        <v>1498000</v>
      </c>
      <c r="AA171" s="266">
        <v>86000</v>
      </c>
      <c r="AB171" s="266">
        <v>353000</v>
      </c>
      <c r="AC171" s="266">
        <v>0</v>
      </c>
      <c r="AD171" s="266">
        <v>0</v>
      </c>
      <c r="AE171" s="180">
        <v>0</v>
      </c>
      <c r="AF171" s="266">
        <v>29000</v>
      </c>
      <c r="AG171" s="180">
        <v>0</v>
      </c>
      <c r="AH171" s="180">
        <v>0</v>
      </c>
      <c r="AI171" s="128">
        <v>0</v>
      </c>
      <c r="AJ171" s="135"/>
      <c r="AK171" s="180">
        <v>0</v>
      </c>
    </row>
    <row r="172" spans="1:37">
      <c r="A172" s="226" t="s">
        <v>451</v>
      </c>
      <c r="B172" s="121" t="s">
        <v>452</v>
      </c>
      <c r="C172" s="121" t="s">
        <v>435</v>
      </c>
      <c r="D172" s="121" t="s">
        <v>43</v>
      </c>
      <c r="E172" s="121" t="s">
        <v>44</v>
      </c>
      <c r="F172" s="121" t="s">
        <v>884</v>
      </c>
      <c r="G172" s="121" t="s">
        <v>666</v>
      </c>
      <c r="H172" s="121" t="s">
        <v>45</v>
      </c>
      <c r="I172" s="121" t="s">
        <v>46</v>
      </c>
      <c r="J172" s="177">
        <v>193652399.33064517</v>
      </c>
      <c r="M172" s="267">
        <v>-5.9700000000000003E-2</v>
      </c>
      <c r="N172" s="269">
        <v>-1.34E-2</v>
      </c>
      <c r="O172" s="250">
        <v>8.5000000000000006E-3</v>
      </c>
      <c r="P172" s="250">
        <v>2.5000000000000001E-3</v>
      </c>
      <c r="Q172" s="250" t="s">
        <v>444</v>
      </c>
      <c r="R172" s="135">
        <v>8.4999999999999995E-4</v>
      </c>
      <c r="S172" s="129"/>
      <c r="T172" s="135">
        <v>2.5000000000000001E-2</v>
      </c>
      <c r="U172" s="266">
        <v>5208000</v>
      </c>
      <c r="V172" s="266">
        <v>1911000</v>
      </c>
      <c r="W172" s="180">
        <v>0</v>
      </c>
      <c r="X172" s="180">
        <v>0</v>
      </c>
      <c r="Y172" s="266">
        <v>900000</v>
      </c>
      <c r="Z172" s="266">
        <v>2107000</v>
      </c>
      <c r="AA172" s="266">
        <v>48000</v>
      </c>
      <c r="AB172" s="266">
        <v>23000</v>
      </c>
      <c r="AC172" s="180">
        <v>0</v>
      </c>
      <c r="AD172" s="266">
        <v>177000</v>
      </c>
      <c r="AE172" s="180">
        <v>0</v>
      </c>
      <c r="AF172" s="266">
        <v>42000</v>
      </c>
      <c r="AG172" s="180">
        <v>0</v>
      </c>
      <c r="AH172" s="180">
        <v>0</v>
      </c>
      <c r="AI172" s="121">
        <v>0</v>
      </c>
      <c r="AJ172" s="135" t="s">
        <v>453</v>
      </c>
      <c r="AK172" s="180">
        <v>0</v>
      </c>
    </row>
    <row r="173" spans="1:37">
      <c r="A173" s="226" t="s">
        <v>454</v>
      </c>
      <c r="B173" s="121" t="s">
        <v>455</v>
      </c>
      <c r="C173" s="121" t="s">
        <v>456</v>
      </c>
      <c r="D173" s="121" t="s">
        <v>43</v>
      </c>
      <c r="E173" s="121" t="s">
        <v>44</v>
      </c>
      <c r="F173" s="121" t="s">
        <v>1348</v>
      </c>
      <c r="G173" s="121" t="s">
        <v>97</v>
      </c>
      <c r="H173" s="121" t="s">
        <v>45</v>
      </c>
      <c r="I173" s="121" t="s">
        <v>46</v>
      </c>
      <c r="J173" s="231">
        <v>197007956</v>
      </c>
      <c r="M173" s="121">
        <v>-1.1628000000000001</v>
      </c>
      <c r="N173" s="121">
        <v>1.3228</v>
      </c>
      <c r="O173" s="229">
        <v>0.02</v>
      </c>
      <c r="P173" s="229">
        <v>2E-3</v>
      </c>
      <c r="Q173" s="229" t="s">
        <v>108</v>
      </c>
      <c r="R173" s="123">
        <v>4.0000000000000002E-4</v>
      </c>
      <c r="T173" s="123">
        <v>2.5000000000000001E-2</v>
      </c>
      <c r="U173" s="177">
        <v>5758231</v>
      </c>
      <c r="V173" s="177">
        <v>3924857</v>
      </c>
      <c r="Y173" s="177">
        <v>70370</v>
      </c>
      <c r="Z173" s="177">
        <v>1257300</v>
      </c>
      <c r="AA173" s="177">
        <v>49575</v>
      </c>
      <c r="AD173" s="177">
        <v>348989</v>
      </c>
      <c r="AF173" s="177">
        <v>107140</v>
      </c>
      <c r="AJ173" s="123">
        <v>2.5000000000000001E-2</v>
      </c>
    </row>
    <row r="174" spans="1:37">
      <c r="A174" s="226" t="s">
        <v>457</v>
      </c>
      <c r="B174" s="121" t="s">
        <v>458</v>
      </c>
      <c r="C174" s="121" t="s">
        <v>456</v>
      </c>
      <c r="D174" s="121" t="s">
        <v>43</v>
      </c>
      <c r="E174" s="121" t="s">
        <v>44</v>
      </c>
      <c r="F174" s="121" t="s">
        <v>1348</v>
      </c>
      <c r="G174" s="121" t="s">
        <v>641</v>
      </c>
      <c r="H174" s="121" t="s">
        <v>45</v>
      </c>
      <c r="I174" s="121" t="s">
        <v>46</v>
      </c>
      <c r="J174" s="231">
        <v>398568943</v>
      </c>
      <c r="M174" s="121">
        <v>3.3170999999999999</v>
      </c>
      <c r="N174" s="121">
        <v>4.6698000000000004</v>
      </c>
      <c r="O174" s="229">
        <v>5.0000000000000001E-3</v>
      </c>
      <c r="P174" s="229">
        <v>0</v>
      </c>
      <c r="Q174" s="229" t="s">
        <v>108</v>
      </c>
      <c r="R174" s="123">
        <v>5.0000000000000001E-4</v>
      </c>
      <c r="T174" s="123">
        <v>1.4999999999999999E-2</v>
      </c>
      <c r="U174" s="177">
        <v>4325098</v>
      </c>
      <c r="V174" s="177">
        <v>3101319</v>
      </c>
      <c r="Y174" s="177">
        <v>218384</v>
      </c>
      <c r="Z174" s="177">
        <v>901700</v>
      </c>
      <c r="AA174" s="177">
        <v>101126</v>
      </c>
      <c r="AF174" s="177">
        <v>2569</v>
      </c>
      <c r="AJ174" s="123">
        <v>1.4999999999999999E-2</v>
      </c>
    </row>
    <row r="175" spans="1:37">
      <c r="A175" s="226" t="s">
        <v>459</v>
      </c>
      <c r="B175" s="121" t="s">
        <v>460</v>
      </c>
      <c r="C175" s="121" t="s">
        <v>456</v>
      </c>
      <c r="D175" s="121" t="s">
        <v>43</v>
      </c>
      <c r="E175" s="121" t="s">
        <v>44</v>
      </c>
      <c r="F175" s="121" t="s">
        <v>1348</v>
      </c>
      <c r="G175" s="121" t="s">
        <v>759</v>
      </c>
      <c r="H175" s="121" t="s">
        <v>45</v>
      </c>
      <c r="I175" s="121" t="s">
        <v>46</v>
      </c>
      <c r="J175" s="231">
        <v>387012097</v>
      </c>
      <c r="M175" s="121">
        <v>8.9643999999999995</v>
      </c>
      <c r="N175" s="121">
        <v>7.1341999999999999</v>
      </c>
      <c r="O175" s="229">
        <v>1.4999999999999999E-2</v>
      </c>
      <c r="P175" s="229">
        <v>2.5000000000000001E-3</v>
      </c>
      <c r="Q175" s="229" t="s">
        <v>108</v>
      </c>
      <c r="R175" s="123">
        <v>6.9999999999999999E-4</v>
      </c>
      <c r="T175" s="123">
        <v>2.5000000000000001E-2</v>
      </c>
      <c r="U175" s="177">
        <v>8672825</v>
      </c>
      <c r="V175" s="177">
        <v>5806611</v>
      </c>
      <c r="W175" s="177">
        <v>1223256</v>
      </c>
      <c r="Y175" s="177">
        <v>329576</v>
      </c>
      <c r="Z175" s="177">
        <v>901700</v>
      </c>
      <c r="AA175" s="177">
        <v>97938</v>
      </c>
      <c r="AD175" s="177">
        <v>268872</v>
      </c>
      <c r="AF175" s="177">
        <v>44872</v>
      </c>
      <c r="AJ175" s="123">
        <v>2.5000000000000001E-2</v>
      </c>
    </row>
    <row r="176" spans="1:37">
      <c r="A176" s="226" t="s">
        <v>461</v>
      </c>
      <c r="B176" s="121" t="s">
        <v>462</v>
      </c>
      <c r="C176" s="121" t="s">
        <v>456</v>
      </c>
      <c r="D176" s="121" t="s">
        <v>43</v>
      </c>
      <c r="E176" s="121" t="s">
        <v>44</v>
      </c>
      <c r="F176" s="121" t="s">
        <v>884</v>
      </c>
      <c r="G176" s="240" t="s">
        <v>884</v>
      </c>
      <c r="H176" s="121" t="s">
        <v>45</v>
      </c>
      <c r="I176" s="121" t="s">
        <v>46</v>
      </c>
      <c r="J176" s="231">
        <v>476620519</v>
      </c>
      <c r="M176" s="121">
        <v>7.2145000000000001</v>
      </c>
      <c r="N176" s="121">
        <v>5.7069999999999999</v>
      </c>
      <c r="O176" s="229">
        <v>0.02</v>
      </c>
      <c r="P176" s="229">
        <v>2.5000000000000001E-3</v>
      </c>
      <c r="Q176" s="229" t="s">
        <v>108</v>
      </c>
      <c r="R176" s="123">
        <v>8.0000000000000004E-4</v>
      </c>
      <c r="T176" s="123">
        <v>2.5000000000000001E-2</v>
      </c>
      <c r="U176" s="177">
        <v>20576014</v>
      </c>
      <c r="V176" s="177">
        <v>9585102</v>
      </c>
      <c r="W176" s="177">
        <v>2125759</v>
      </c>
      <c r="Y176" s="177">
        <v>385092</v>
      </c>
      <c r="Z176" s="177">
        <v>965200</v>
      </c>
      <c r="AA176" s="177">
        <v>121528</v>
      </c>
      <c r="AD176" s="177">
        <v>7282403</v>
      </c>
      <c r="AF176" s="177">
        <v>110930</v>
      </c>
      <c r="AJ176" s="123">
        <v>2.5000000000000001E-2</v>
      </c>
    </row>
    <row r="177" spans="1:39">
      <c r="A177" s="226" t="s">
        <v>463</v>
      </c>
      <c r="B177" s="121" t="s">
        <v>464</v>
      </c>
      <c r="C177" s="121" t="s">
        <v>456</v>
      </c>
      <c r="D177" s="121" t="s">
        <v>43</v>
      </c>
      <c r="E177" s="121" t="s">
        <v>44</v>
      </c>
      <c r="F177" s="121" t="s">
        <v>55</v>
      </c>
      <c r="G177" s="121" t="s">
        <v>97</v>
      </c>
      <c r="H177" s="121" t="s">
        <v>45</v>
      </c>
      <c r="I177" s="121" t="s">
        <v>46</v>
      </c>
      <c r="J177" s="231">
        <v>2825651200</v>
      </c>
      <c r="M177" s="121">
        <v>8.3350000000000009</v>
      </c>
      <c r="N177" s="121">
        <v>10.090400000000001</v>
      </c>
      <c r="O177" s="229">
        <v>0.01</v>
      </c>
      <c r="P177" s="229">
        <v>2.5000000000000001E-3</v>
      </c>
      <c r="Q177" s="229" t="s">
        <v>108</v>
      </c>
      <c r="R177" s="123">
        <v>8.0000000000000004E-4</v>
      </c>
      <c r="T177" s="123">
        <v>2.5000000000000001E-2</v>
      </c>
      <c r="U177" s="177">
        <v>33253946</v>
      </c>
      <c r="V177" s="177">
        <v>28343426</v>
      </c>
      <c r="Y177" s="177">
        <v>2271564</v>
      </c>
      <c r="Z177" s="177">
        <v>965200</v>
      </c>
      <c r="AA177" s="177">
        <v>487031</v>
      </c>
      <c r="AD177" s="177">
        <v>762477</v>
      </c>
      <c r="AF177" s="177">
        <v>424248</v>
      </c>
      <c r="AI177" s="123">
        <v>0</v>
      </c>
      <c r="AJ177" s="123">
        <v>2.5000000000000001E-2</v>
      </c>
    </row>
    <row r="178" spans="1:39">
      <c r="A178" s="270" t="s">
        <v>465</v>
      </c>
      <c r="B178" s="271"/>
      <c r="C178" s="271" t="s">
        <v>466</v>
      </c>
      <c r="D178" s="271"/>
      <c r="E178" s="271"/>
      <c r="F178" s="271" t="s">
        <v>1348</v>
      </c>
      <c r="G178" s="271"/>
      <c r="H178" s="271"/>
      <c r="I178" s="271"/>
      <c r="J178" s="183"/>
      <c r="K178" s="183" t="s">
        <v>122</v>
      </c>
      <c r="L178" s="271" t="s">
        <v>122</v>
      </c>
      <c r="M178" s="271"/>
      <c r="N178" s="271"/>
      <c r="O178" s="272">
        <v>1.4999999999999999E-2</v>
      </c>
      <c r="P178" s="273" t="s">
        <v>122</v>
      </c>
      <c r="Q178" s="273" t="s">
        <v>122</v>
      </c>
      <c r="R178" s="274">
        <v>1.75E-3</v>
      </c>
      <c r="S178" s="274">
        <v>2.5000000000000001E-4</v>
      </c>
      <c r="T178" s="271" t="s">
        <v>122</v>
      </c>
      <c r="U178" s="183"/>
      <c r="V178" s="183"/>
      <c r="W178" s="183"/>
      <c r="X178" s="183"/>
      <c r="Y178" s="183"/>
      <c r="Z178" s="183"/>
      <c r="AA178" s="183"/>
      <c r="AB178" s="183"/>
      <c r="AC178" s="183"/>
      <c r="AD178" s="183"/>
      <c r="AE178" s="183"/>
      <c r="AF178" s="183"/>
      <c r="AG178" s="183"/>
      <c r="AH178" s="183"/>
      <c r="AI178" s="136"/>
      <c r="AJ178" s="136"/>
      <c r="AK178" s="183" t="s">
        <v>122</v>
      </c>
      <c r="AL178" s="275"/>
      <c r="AM178" s="275"/>
    </row>
    <row r="179" spans="1:39">
      <c r="A179" s="270" t="s">
        <v>467</v>
      </c>
      <c r="B179" s="271" t="s">
        <v>468</v>
      </c>
      <c r="C179" s="271" t="s">
        <v>466</v>
      </c>
      <c r="D179" s="271" t="s">
        <v>43</v>
      </c>
      <c r="E179" s="271" t="s">
        <v>44</v>
      </c>
      <c r="F179" s="271" t="s">
        <v>55</v>
      </c>
      <c r="G179" s="271" t="s">
        <v>58</v>
      </c>
      <c r="H179" s="271" t="s">
        <v>62</v>
      </c>
      <c r="I179" s="271" t="s">
        <v>46</v>
      </c>
      <c r="J179" s="183">
        <v>1811439345</v>
      </c>
      <c r="K179" s="183" t="s">
        <v>122</v>
      </c>
      <c r="L179" s="271" t="s">
        <v>122</v>
      </c>
      <c r="M179" s="271">
        <v>-7.11</v>
      </c>
      <c r="N179" s="271">
        <v>-5.16</v>
      </c>
      <c r="O179" s="272">
        <v>1.4999999999999999E-2</v>
      </c>
      <c r="P179" s="273" t="s">
        <v>122</v>
      </c>
      <c r="Q179" s="273" t="s">
        <v>122</v>
      </c>
      <c r="R179" s="274">
        <v>1.753E-3</v>
      </c>
      <c r="S179" s="274">
        <v>2.5000000000000001E-4</v>
      </c>
      <c r="T179" s="271" t="s">
        <v>122</v>
      </c>
      <c r="U179" s="183">
        <f t="shared" ref="U179:U229" si="4">SUM(V179:AH179)</f>
        <v>32582001</v>
      </c>
      <c r="V179" s="183">
        <v>2957920</v>
      </c>
      <c r="W179" s="183">
        <v>0</v>
      </c>
      <c r="X179" s="183">
        <v>16760813</v>
      </c>
      <c r="Y179" s="183">
        <v>3169362</v>
      </c>
      <c r="Z179" s="183">
        <v>635000</v>
      </c>
      <c r="AA179" s="183">
        <v>452672</v>
      </c>
      <c r="AB179" s="183">
        <v>0</v>
      </c>
      <c r="AC179" s="183">
        <v>0</v>
      </c>
      <c r="AD179" s="183">
        <v>6588605</v>
      </c>
      <c r="AE179" s="183">
        <v>0</v>
      </c>
      <c r="AF179" s="183">
        <v>2500</v>
      </c>
      <c r="AG179" s="183">
        <v>0</v>
      </c>
      <c r="AH179" s="183">
        <v>2015129</v>
      </c>
      <c r="AI179" s="136">
        <v>4.1999999999999997E-3</v>
      </c>
      <c r="AJ179" s="136">
        <v>1.9900000000000001E-2</v>
      </c>
      <c r="AK179" s="183" t="s">
        <v>469</v>
      </c>
      <c r="AL179" s="275"/>
      <c r="AM179" s="276">
        <f t="shared" ref="AM179:AM229" si="5">+AH179/U179</f>
        <v>6.1847920267389347E-2</v>
      </c>
    </row>
    <row r="180" spans="1:39">
      <c r="A180" s="226" t="s">
        <v>470</v>
      </c>
      <c r="B180" s="121" t="s">
        <v>471</v>
      </c>
      <c r="C180" s="121" t="s">
        <v>466</v>
      </c>
      <c r="D180" s="121" t="s">
        <v>43</v>
      </c>
      <c r="E180" s="121" t="s">
        <v>44</v>
      </c>
      <c r="F180" s="121" t="s">
        <v>1348</v>
      </c>
      <c r="G180" s="121" t="s">
        <v>81</v>
      </c>
      <c r="H180" s="121" t="s">
        <v>45</v>
      </c>
      <c r="I180" s="121" t="s">
        <v>46</v>
      </c>
      <c r="J180" s="177">
        <v>18644887267</v>
      </c>
      <c r="K180" s="177" t="s">
        <v>122</v>
      </c>
      <c r="L180" s="121" t="s">
        <v>122</v>
      </c>
      <c r="M180" s="121">
        <v>9.09</v>
      </c>
      <c r="N180" s="121">
        <v>6.99</v>
      </c>
      <c r="O180" s="229">
        <v>1.2999999999999999E-2</v>
      </c>
      <c r="P180" s="99" t="s">
        <v>122</v>
      </c>
      <c r="Q180" s="99" t="s">
        <v>122</v>
      </c>
      <c r="R180" s="230">
        <v>1.4E-3</v>
      </c>
      <c r="S180" s="230">
        <v>2.5000000000000001E-4</v>
      </c>
      <c r="T180" s="121" t="s">
        <v>122</v>
      </c>
      <c r="U180" s="177">
        <f t="shared" si="4"/>
        <v>275152416</v>
      </c>
      <c r="V180" s="177">
        <v>36361427</v>
      </c>
      <c r="W180" s="177">
        <v>0</v>
      </c>
      <c r="X180" s="177">
        <v>206029455</v>
      </c>
      <c r="Y180" s="177">
        <v>26105643</v>
      </c>
      <c r="Z180" s="177">
        <v>508000</v>
      </c>
      <c r="AA180" s="177">
        <v>4655712</v>
      </c>
      <c r="AB180" s="177">
        <v>0</v>
      </c>
      <c r="AC180" s="177">
        <v>0</v>
      </c>
      <c r="AD180" s="177">
        <v>1402725</v>
      </c>
      <c r="AE180" s="180">
        <v>0</v>
      </c>
      <c r="AF180" s="177">
        <v>89454</v>
      </c>
      <c r="AG180" s="177">
        <v>0</v>
      </c>
      <c r="AH180" s="177">
        <v>0</v>
      </c>
      <c r="AI180" s="137">
        <v>0</v>
      </c>
      <c r="AJ180" s="123">
        <v>1.47E-2</v>
      </c>
      <c r="AK180" s="177" t="s">
        <v>122</v>
      </c>
      <c r="AL180" s="275"/>
      <c r="AM180" s="275">
        <f t="shared" si="5"/>
        <v>0</v>
      </c>
    </row>
    <row r="181" spans="1:39">
      <c r="A181" s="277" t="s">
        <v>472</v>
      </c>
      <c r="B181" s="278"/>
      <c r="C181" s="278" t="s">
        <v>466</v>
      </c>
      <c r="D181" s="278"/>
      <c r="E181" s="278"/>
      <c r="F181" s="278"/>
      <c r="G181" s="278"/>
      <c r="H181" s="278"/>
      <c r="I181" s="278"/>
      <c r="J181" s="184"/>
      <c r="K181" s="184" t="s">
        <v>122</v>
      </c>
      <c r="L181" s="278" t="s">
        <v>122</v>
      </c>
      <c r="M181" s="278"/>
      <c r="N181" s="278"/>
      <c r="O181" s="279">
        <v>0.02</v>
      </c>
      <c r="P181" s="280" t="s">
        <v>122</v>
      </c>
      <c r="Q181" s="280" t="s">
        <v>122</v>
      </c>
      <c r="R181" s="281">
        <v>1.6999999999999999E-3</v>
      </c>
      <c r="S181" s="281">
        <v>2.5000000000000001E-4</v>
      </c>
      <c r="T181" s="278" t="s">
        <v>122</v>
      </c>
      <c r="U181" s="184"/>
      <c r="V181" s="184"/>
      <c r="W181" s="184"/>
      <c r="X181" s="184"/>
      <c r="Y181" s="184"/>
      <c r="Z181" s="184"/>
      <c r="AA181" s="184"/>
      <c r="AB181" s="184"/>
      <c r="AC181" s="184"/>
      <c r="AD181" s="184"/>
      <c r="AE181" s="184"/>
      <c r="AF181" s="184"/>
      <c r="AG181" s="184"/>
      <c r="AH181" s="184"/>
      <c r="AI181" s="138"/>
      <c r="AJ181" s="139"/>
      <c r="AK181" s="184" t="s">
        <v>122</v>
      </c>
      <c r="AL181" s="275"/>
      <c r="AM181" s="275"/>
    </row>
    <row r="182" spans="1:39">
      <c r="A182" s="277" t="s">
        <v>473</v>
      </c>
      <c r="B182" s="278"/>
      <c r="C182" s="278" t="s">
        <v>466</v>
      </c>
      <c r="D182" s="278"/>
      <c r="E182" s="278"/>
      <c r="F182" s="278"/>
      <c r="G182" s="278"/>
      <c r="H182" s="278"/>
      <c r="I182" s="278"/>
      <c r="J182" s="184"/>
      <c r="K182" s="184" t="s">
        <v>122</v>
      </c>
      <c r="L182" s="278" t="s">
        <v>122</v>
      </c>
      <c r="M182" s="278"/>
      <c r="N182" s="278"/>
      <c r="O182" s="279">
        <v>0.02</v>
      </c>
      <c r="P182" s="280" t="s">
        <v>122</v>
      </c>
      <c r="Q182" s="280" t="s">
        <v>122</v>
      </c>
      <c r="R182" s="281">
        <v>1.6999999999999999E-3</v>
      </c>
      <c r="S182" s="281">
        <v>2.5000000000000001E-4</v>
      </c>
      <c r="T182" s="278" t="s">
        <v>122</v>
      </c>
      <c r="U182" s="184"/>
      <c r="V182" s="184"/>
      <c r="W182" s="184"/>
      <c r="X182" s="184"/>
      <c r="Y182" s="184"/>
      <c r="Z182" s="184"/>
      <c r="AA182" s="184"/>
      <c r="AB182" s="184"/>
      <c r="AC182" s="184"/>
      <c r="AD182" s="184"/>
      <c r="AE182" s="184"/>
      <c r="AF182" s="184"/>
      <c r="AG182" s="184"/>
      <c r="AH182" s="184"/>
      <c r="AI182" s="138"/>
      <c r="AJ182" s="139"/>
      <c r="AK182" s="184" t="s">
        <v>122</v>
      </c>
      <c r="AL182" s="275"/>
      <c r="AM182" s="275"/>
    </row>
    <row r="183" spans="1:39">
      <c r="A183" s="277" t="s">
        <v>474</v>
      </c>
      <c r="B183" s="278" t="s">
        <v>475</v>
      </c>
      <c r="C183" s="278" t="s">
        <v>466</v>
      </c>
      <c r="D183" s="278" t="s">
        <v>43</v>
      </c>
      <c r="E183" s="278" t="s">
        <v>44</v>
      </c>
      <c r="F183" s="278" t="s">
        <v>55</v>
      </c>
      <c r="G183" s="278" t="s">
        <v>88</v>
      </c>
      <c r="H183" s="278" t="s">
        <v>62</v>
      </c>
      <c r="I183" s="278" t="s">
        <v>46</v>
      </c>
      <c r="J183" s="184">
        <v>328563064</v>
      </c>
      <c r="K183" s="184" t="s">
        <v>122</v>
      </c>
      <c r="L183" s="278" t="s">
        <v>122</v>
      </c>
      <c r="M183" s="278">
        <v>6.51</v>
      </c>
      <c r="N183" s="278">
        <v>6.09</v>
      </c>
      <c r="O183" s="279">
        <v>0.02</v>
      </c>
      <c r="P183" s="280" t="s">
        <v>122</v>
      </c>
      <c r="Q183" s="280" t="s">
        <v>122</v>
      </c>
      <c r="R183" s="281">
        <v>1.6999999999999999E-3</v>
      </c>
      <c r="S183" s="281">
        <v>2.5000000000000001E-4</v>
      </c>
      <c r="T183" s="278" t="s">
        <v>122</v>
      </c>
      <c r="U183" s="184">
        <f t="shared" si="4"/>
        <v>5160217</v>
      </c>
      <c r="V183" s="184">
        <v>576333</v>
      </c>
      <c r="W183" s="184">
        <v>0</v>
      </c>
      <c r="X183" s="184">
        <v>3265881</v>
      </c>
      <c r="Y183" s="184">
        <v>559352</v>
      </c>
      <c r="Z183" s="184">
        <v>533400</v>
      </c>
      <c r="AA183" s="184">
        <v>82160</v>
      </c>
      <c r="AB183" s="184">
        <v>0</v>
      </c>
      <c r="AC183" s="184">
        <v>0</v>
      </c>
      <c r="AD183" s="184">
        <v>70391</v>
      </c>
      <c r="AE183" s="184">
        <v>0</v>
      </c>
      <c r="AF183" s="184">
        <v>7700</v>
      </c>
      <c r="AG183" s="184">
        <v>0</v>
      </c>
      <c r="AH183" s="184">
        <v>65000</v>
      </c>
      <c r="AI183" s="138">
        <v>0</v>
      </c>
      <c r="AJ183" s="139">
        <v>1.61E-2</v>
      </c>
      <c r="AK183" s="184" t="s">
        <v>122</v>
      </c>
      <c r="AL183" s="275"/>
      <c r="AM183" s="275">
        <f t="shared" si="5"/>
        <v>1.2596369493763537E-2</v>
      </c>
    </row>
    <row r="184" spans="1:39">
      <c r="A184" s="226" t="s">
        <v>476</v>
      </c>
      <c r="B184" s="121" t="s">
        <v>477</v>
      </c>
      <c r="C184" s="121" t="s">
        <v>466</v>
      </c>
      <c r="D184" s="121" t="s">
        <v>43</v>
      </c>
      <c r="E184" s="121" t="s">
        <v>44</v>
      </c>
      <c r="F184" s="121" t="s">
        <v>1348</v>
      </c>
      <c r="G184" s="246" t="s">
        <v>365</v>
      </c>
      <c r="H184" s="121" t="s">
        <v>45</v>
      </c>
      <c r="I184" s="121" t="s">
        <v>46</v>
      </c>
      <c r="J184" s="177">
        <v>73528273131</v>
      </c>
      <c r="K184" s="177" t="s">
        <v>122</v>
      </c>
      <c r="L184" s="121" t="s">
        <v>122</v>
      </c>
      <c r="M184" s="121">
        <v>4.24</v>
      </c>
      <c r="N184" s="121">
        <v>2.41</v>
      </c>
      <c r="O184" s="229">
        <v>0.02</v>
      </c>
      <c r="P184" s="99" t="s">
        <v>122</v>
      </c>
      <c r="Q184" s="99" t="s">
        <v>122</v>
      </c>
      <c r="R184" s="230">
        <v>6.9999999999999999E-4</v>
      </c>
      <c r="S184" s="230">
        <v>2.5000000000000001E-4</v>
      </c>
      <c r="T184" s="121" t="s">
        <v>122</v>
      </c>
      <c r="U184" s="177">
        <f t="shared" si="4"/>
        <v>1026716421</v>
      </c>
      <c r="V184" s="177">
        <v>143199628</v>
      </c>
      <c r="W184" s="177">
        <v>0</v>
      </c>
      <c r="X184" s="177">
        <v>811464550</v>
      </c>
      <c r="Y184" s="177">
        <v>51404995</v>
      </c>
      <c r="Z184" s="177">
        <v>1792859</v>
      </c>
      <c r="AA184" s="177">
        <v>18362835</v>
      </c>
      <c r="AB184" s="177">
        <v>0</v>
      </c>
      <c r="AC184" s="177">
        <v>0</v>
      </c>
      <c r="AD184" s="177">
        <v>0</v>
      </c>
      <c r="AE184" s="180">
        <v>0</v>
      </c>
      <c r="AF184" s="177">
        <v>491554</v>
      </c>
      <c r="AG184" s="177">
        <v>0</v>
      </c>
      <c r="AH184" s="177">
        <v>0</v>
      </c>
      <c r="AI184" s="137">
        <v>0</v>
      </c>
      <c r="AJ184" s="123">
        <v>1.4E-2</v>
      </c>
      <c r="AK184" s="177" t="s">
        <v>122</v>
      </c>
      <c r="AL184" s="275"/>
      <c r="AM184" s="275">
        <f t="shared" si="5"/>
        <v>0</v>
      </c>
    </row>
    <row r="185" spans="1:39">
      <c r="A185" s="282" t="s">
        <v>478</v>
      </c>
      <c r="B185" s="283"/>
      <c r="C185" s="283" t="s">
        <v>466</v>
      </c>
      <c r="D185" s="283"/>
      <c r="E185" s="283"/>
      <c r="F185" s="283"/>
      <c r="G185" s="283"/>
      <c r="H185" s="283"/>
      <c r="I185" s="283"/>
      <c r="J185" s="185"/>
      <c r="K185" s="185" t="s">
        <v>122</v>
      </c>
      <c r="L185" s="283" t="s">
        <v>122</v>
      </c>
      <c r="M185" s="283"/>
      <c r="N185" s="283"/>
      <c r="O185" s="284">
        <v>0.02</v>
      </c>
      <c r="P185" s="285" t="s">
        <v>122</v>
      </c>
      <c r="Q185" s="285" t="s">
        <v>122</v>
      </c>
      <c r="R185" s="286">
        <v>6.9999999999999999E-4</v>
      </c>
      <c r="S185" s="286">
        <v>2.5000000000000001E-4</v>
      </c>
      <c r="T185" s="283" t="s">
        <v>122</v>
      </c>
      <c r="U185" s="185"/>
      <c r="V185" s="185"/>
      <c r="W185" s="185"/>
      <c r="X185" s="185"/>
      <c r="Y185" s="185"/>
      <c r="Z185" s="185"/>
      <c r="AA185" s="185"/>
      <c r="AB185" s="185"/>
      <c r="AC185" s="185"/>
      <c r="AD185" s="185"/>
      <c r="AE185" s="185"/>
      <c r="AF185" s="185"/>
      <c r="AG185" s="185"/>
      <c r="AH185" s="185"/>
      <c r="AI185" s="140"/>
      <c r="AJ185" s="141"/>
      <c r="AK185" s="185" t="s">
        <v>122</v>
      </c>
      <c r="AL185" s="275"/>
      <c r="AM185" s="275"/>
    </row>
    <row r="186" spans="1:39">
      <c r="A186" s="282" t="s">
        <v>479</v>
      </c>
      <c r="B186" s="283"/>
      <c r="C186" s="283" t="s">
        <v>466</v>
      </c>
      <c r="D186" s="283"/>
      <c r="E186" s="283"/>
      <c r="F186" s="283"/>
      <c r="G186" s="283"/>
      <c r="H186" s="283"/>
      <c r="I186" s="283"/>
      <c r="J186" s="185"/>
      <c r="K186" s="185" t="s">
        <v>122</v>
      </c>
      <c r="L186" s="283" t="s">
        <v>122</v>
      </c>
      <c r="M186" s="283"/>
      <c r="N186" s="283"/>
      <c r="O186" s="284">
        <v>0.02</v>
      </c>
      <c r="P186" s="285" t="s">
        <v>122</v>
      </c>
      <c r="Q186" s="285" t="s">
        <v>122</v>
      </c>
      <c r="R186" s="286">
        <v>6.9999999999999999E-4</v>
      </c>
      <c r="S186" s="286">
        <v>2.5000000000000001E-4</v>
      </c>
      <c r="T186" s="283" t="s">
        <v>122</v>
      </c>
      <c r="U186" s="185"/>
      <c r="V186" s="185"/>
      <c r="W186" s="185"/>
      <c r="X186" s="185"/>
      <c r="Y186" s="185"/>
      <c r="Z186" s="185"/>
      <c r="AA186" s="185"/>
      <c r="AB186" s="185"/>
      <c r="AC186" s="185"/>
      <c r="AD186" s="185"/>
      <c r="AE186" s="185"/>
      <c r="AF186" s="185"/>
      <c r="AG186" s="185"/>
      <c r="AH186" s="185"/>
      <c r="AI186" s="140"/>
      <c r="AJ186" s="141"/>
      <c r="AK186" s="185" t="s">
        <v>122</v>
      </c>
      <c r="AL186" s="275"/>
      <c r="AM186" s="275"/>
    </row>
    <row r="187" spans="1:39">
      <c r="A187" s="282" t="s">
        <v>480</v>
      </c>
      <c r="B187" s="283" t="s">
        <v>481</v>
      </c>
      <c r="C187" s="283" t="s">
        <v>466</v>
      </c>
      <c r="D187" s="283" t="s">
        <v>43</v>
      </c>
      <c r="E187" s="283" t="s">
        <v>44</v>
      </c>
      <c r="F187" s="283" t="s">
        <v>1348</v>
      </c>
      <c r="G187" s="287" t="s">
        <v>365</v>
      </c>
      <c r="H187" s="283" t="s">
        <v>45</v>
      </c>
      <c r="I187" s="283" t="s">
        <v>46</v>
      </c>
      <c r="J187" s="185">
        <v>14564716918</v>
      </c>
      <c r="K187" s="185" t="s">
        <v>122</v>
      </c>
      <c r="L187" s="283" t="s">
        <v>122</v>
      </c>
      <c r="M187" s="283">
        <v>4.1100000000000003</v>
      </c>
      <c r="N187" s="283">
        <v>2.41</v>
      </c>
      <c r="O187" s="284">
        <v>0.02</v>
      </c>
      <c r="P187" s="285" t="s">
        <v>122</v>
      </c>
      <c r="Q187" s="285" t="s">
        <v>122</v>
      </c>
      <c r="R187" s="286">
        <v>6.9999999999999999E-4</v>
      </c>
      <c r="S187" s="286">
        <v>2.5000000000000001E-4</v>
      </c>
      <c r="T187" s="283" t="s">
        <v>122</v>
      </c>
      <c r="U187" s="185">
        <f t="shared" si="4"/>
        <v>219606722</v>
      </c>
      <c r="V187" s="185">
        <v>30607784</v>
      </c>
      <c r="W187" s="185">
        <v>0</v>
      </c>
      <c r="X187" s="185">
        <v>173444091</v>
      </c>
      <c r="Y187" s="185">
        <v>10202595</v>
      </c>
      <c r="Z187" s="185">
        <v>1270000</v>
      </c>
      <c r="AA187" s="185">
        <v>3643032</v>
      </c>
      <c r="AB187" s="185">
        <v>0</v>
      </c>
      <c r="AC187" s="185">
        <v>0</v>
      </c>
      <c r="AD187" s="185">
        <v>0</v>
      </c>
      <c r="AE187" s="185">
        <v>0</v>
      </c>
      <c r="AF187" s="185">
        <v>374220</v>
      </c>
      <c r="AG187" s="185">
        <v>0</v>
      </c>
      <c r="AH187" s="185">
        <v>65000</v>
      </c>
      <c r="AI187" s="140">
        <v>0</v>
      </c>
      <c r="AJ187" s="141">
        <v>1.5100000000000001E-2</v>
      </c>
      <c r="AK187" s="185" t="s">
        <v>122</v>
      </c>
      <c r="AL187" s="275"/>
      <c r="AM187" s="275">
        <f t="shared" si="5"/>
        <v>2.9598365390655026E-4</v>
      </c>
    </row>
    <row r="188" spans="1:39">
      <c r="A188" s="226" t="s">
        <v>482</v>
      </c>
      <c r="B188" s="121" t="s">
        <v>483</v>
      </c>
      <c r="C188" s="121" t="s">
        <v>466</v>
      </c>
      <c r="D188" s="121" t="s">
        <v>43</v>
      </c>
      <c r="E188" s="121" t="s">
        <v>44</v>
      </c>
      <c r="F188" s="121" t="s">
        <v>1348</v>
      </c>
      <c r="G188" s="121" t="s">
        <v>48</v>
      </c>
      <c r="H188" s="121" t="s">
        <v>45</v>
      </c>
      <c r="I188" s="121" t="s">
        <v>46</v>
      </c>
      <c r="J188" s="177">
        <v>5203321961</v>
      </c>
      <c r="K188" s="177" t="s">
        <v>122</v>
      </c>
      <c r="L188" s="121" t="s">
        <v>122</v>
      </c>
      <c r="M188" s="121">
        <v>9.24</v>
      </c>
      <c r="N188" s="121">
        <v>8.9499999999999993</v>
      </c>
      <c r="O188" s="229">
        <v>1.2999999999999999E-2</v>
      </c>
      <c r="P188" s="99" t="s">
        <v>122</v>
      </c>
      <c r="Q188" s="99" t="s">
        <v>122</v>
      </c>
      <c r="R188" s="230">
        <v>1.4E-3</v>
      </c>
      <c r="S188" s="230">
        <v>2.5000000000000001E-4</v>
      </c>
      <c r="T188" s="121" t="s">
        <v>122</v>
      </c>
      <c r="U188" s="177">
        <f t="shared" si="4"/>
        <v>76917433</v>
      </c>
      <c r="V188" s="177">
        <v>10140637</v>
      </c>
      <c r="W188" s="177">
        <v>0</v>
      </c>
      <c r="X188" s="177">
        <v>57458408</v>
      </c>
      <c r="Y188" s="177">
        <v>7280459</v>
      </c>
      <c r="Z188" s="177">
        <v>508000</v>
      </c>
      <c r="AA188" s="177">
        <v>1299524</v>
      </c>
      <c r="AB188" s="177">
        <v>0</v>
      </c>
      <c r="AC188" s="177">
        <v>0</v>
      </c>
      <c r="AD188" s="177">
        <v>222705</v>
      </c>
      <c r="AE188" s="180">
        <v>0</v>
      </c>
      <c r="AF188" s="177">
        <v>7700</v>
      </c>
      <c r="AG188" s="177">
        <v>0</v>
      </c>
      <c r="AH188" s="177">
        <v>0</v>
      </c>
      <c r="AI188" s="137">
        <v>0</v>
      </c>
      <c r="AJ188" s="123">
        <v>1.47E-2</v>
      </c>
      <c r="AK188" s="177" t="s">
        <v>122</v>
      </c>
      <c r="AL188" s="275"/>
      <c r="AM188" s="275">
        <f t="shared" si="5"/>
        <v>0</v>
      </c>
    </row>
    <row r="189" spans="1:39">
      <c r="A189" s="226" t="s">
        <v>484</v>
      </c>
      <c r="B189" s="121" t="s">
        <v>485</v>
      </c>
      <c r="C189" s="121" t="s">
        <v>466</v>
      </c>
      <c r="D189" s="121" t="s">
        <v>43</v>
      </c>
      <c r="E189" s="121" t="s">
        <v>44</v>
      </c>
      <c r="F189" s="121" t="s">
        <v>1348</v>
      </c>
      <c r="G189" s="121" t="s">
        <v>641</v>
      </c>
      <c r="H189" s="121" t="s">
        <v>45</v>
      </c>
      <c r="I189" s="121" t="s">
        <v>46</v>
      </c>
      <c r="J189" s="177">
        <v>20283027930</v>
      </c>
      <c r="K189" s="177" t="s">
        <v>122</v>
      </c>
      <c r="L189" s="121" t="s">
        <v>122</v>
      </c>
      <c r="M189" s="121">
        <v>3.79</v>
      </c>
      <c r="N189" s="121">
        <v>2.41</v>
      </c>
      <c r="O189" s="229">
        <v>0.02</v>
      </c>
      <c r="P189" s="99" t="s">
        <v>122</v>
      </c>
      <c r="Q189" s="99" t="s">
        <v>122</v>
      </c>
      <c r="R189" s="230">
        <v>6.9999999999999999E-4</v>
      </c>
      <c r="S189" s="230">
        <v>2.5000000000000001E-4</v>
      </c>
      <c r="T189" s="121" t="s">
        <v>122</v>
      </c>
      <c r="U189" s="177">
        <f t="shared" si="4"/>
        <v>323889698</v>
      </c>
      <c r="V189" s="177">
        <v>45564806</v>
      </c>
      <c r="W189" s="177">
        <v>0</v>
      </c>
      <c r="X189" s="177">
        <v>258200574</v>
      </c>
      <c r="Y189" s="177">
        <v>14175718</v>
      </c>
      <c r="Z189" s="177">
        <v>508000</v>
      </c>
      <c r="AA189" s="177">
        <v>5069055</v>
      </c>
      <c r="AB189" s="177">
        <v>0</v>
      </c>
      <c r="AC189" s="177">
        <v>0</v>
      </c>
      <c r="AD189" s="177">
        <v>0</v>
      </c>
      <c r="AE189" s="180">
        <v>0</v>
      </c>
      <c r="AF189" s="177">
        <v>371545</v>
      </c>
      <c r="AG189" s="177">
        <v>0</v>
      </c>
      <c r="AH189" s="177">
        <v>0</v>
      </c>
      <c r="AI189" s="137">
        <v>0</v>
      </c>
      <c r="AJ189" s="123">
        <v>1.6E-2</v>
      </c>
      <c r="AK189" s="177" t="s">
        <v>122</v>
      </c>
      <c r="AL189" s="275"/>
      <c r="AM189" s="275">
        <f t="shared" si="5"/>
        <v>0</v>
      </c>
    </row>
    <row r="190" spans="1:39">
      <c r="A190" s="226" t="s">
        <v>486</v>
      </c>
      <c r="B190" s="121" t="s">
        <v>487</v>
      </c>
      <c r="C190" s="121" t="s">
        <v>466</v>
      </c>
      <c r="D190" s="121" t="s">
        <v>43</v>
      </c>
      <c r="E190" s="121" t="s">
        <v>44</v>
      </c>
      <c r="F190" s="121" t="s">
        <v>1348</v>
      </c>
      <c r="G190" s="246" t="s">
        <v>365</v>
      </c>
      <c r="H190" s="121" t="s">
        <v>45</v>
      </c>
      <c r="I190" s="121" t="s">
        <v>239</v>
      </c>
      <c r="J190" s="177">
        <v>52934633.520000003</v>
      </c>
      <c r="K190" s="177" t="s">
        <v>122</v>
      </c>
      <c r="L190" s="121" t="s">
        <v>122</v>
      </c>
      <c r="M190" s="121">
        <v>1.1299999999999999</v>
      </c>
      <c r="N190" s="121">
        <v>0.19</v>
      </c>
      <c r="O190" s="229">
        <v>0.01</v>
      </c>
      <c r="P190" s="99" t="s">
        <v>122</v>
      </c>
      <c r="Q190" s="99" t="s">
        <v>122</v>
      </c>
      <c r="R190" s="230">
        <v>1.6999999999999999E-3</v>
      </c>
      <c r="S190" s="230">
        <v>2.5000000000000001E-4</v>
      </c>
      <c r="T190" s="121" t="s">
        <v>122</v>
      </c>
      <c r="U190" s="177">
        <f t="shared" si="4"/>
        <v>486045.39999999997</v>
      </c>
      <c r="V190" s="177">
        <v>56759.17</v>
      </c>
      <c r="W190" s="177">
        <v>0</v>
      </c>
      <c r="X190" s="177">
        <v>321635.38</v>
      </c>
      <c r="Y190" s="177">
        <v>90391.75</v>
      </c>
      <c r="Z190" s="177">
        <v>2085.1999999999998</v>
      </c>
      <c r="AA190" s="177">
        <v>13214.1</v>
      </c>
      <c r="AB190" s="177">
        <v>0</v>
      </c>
      <c r="AC190" s="177">
        <v>0</v>
      </c>
      <c r="AD190" s="177">
        <v>0</v>
      </c>
      <c r="AE190" s="180">
        <v>0</v>
      </c>
      <c r="AF190" s="177">
        <v>1959.8</v>
      </c>
      <c r="AG190" s="177">
        <v>0</v>
      </c>
      <c r="AH190" s="177">
        <v>0</v>
      </c>
      <c r="AI190" s="137">
        <v>0</v>
      </c>
      <c r="AJ190" s="123">
        <v>9.1000000000000004E-3</v>
      </c>
      <c r="AK190" s="177" t="s">
        <v>122</v>
      </c>
      <c r="AL190" s="275"/>
      <c r="AM190" s="275">
        <f t="shared" si="5"/>
        <v>0</v>
      </c>
    </row>
    <row r="191" spans="1:39">
      <c r="A191" s="226" t="s">
        <v>488</v>
      </c>
      <c r="B191" s="121" t="s">
        <v>489</v>
      </c>
      <c r="C191" s="121" t="s">
        <v>466</v>
      </c>
      <c r="D191" s="121" t="s">
        <v>43</v>
      </c>
      <c r="E191" s="121" t="s">
        <v>44</v>
      </c>
      <c r="F191" s="121" t="s">
        <v>1348</v>
      </c>
      <c r="G191" s="246" t="s">
        <v>365</v>
      </c>
      <c r="H191" s="121" t="s">
        <v>45</v>
      </c>
      <c r="I191" s="121" t="s">
        <v>69</v>
      </c>
      <c r="J191" s="177">
        <v>74453966.969999999</v>
      </c>
      <c r="K191" s="177" t="s">
        <v>122</v>
      </c>
      <c r="L191" s="121" t="s">
        <v>122</v>
      </c>
      <c r="M191" s="121">
        <v>0.83</v>
      </c>
      <c r="N191" s="121">
        <v>0.08</v>
      </c>
      <c r="O191" s="229">
        <v>0.01</v>
      </c>
      <c r="P191" s="99" t="s">
        <v>122</v>
      </c>
      <c r="Q191" s="99" t="s">
        <v>122</v>
      </c>
      <c r="R191" s="230">
        <v>1.6999999999999999E-3</v>
      </c>
      <c r="S191" s="230">
        <v>2.5000000000000001E-4</v>
      </c>
      <c r="T191" s="121" t="s">
        <v>122</v>
      </c>
      <c r="U191" s="177">
        <f t="shared" si="4"/>
        <v>736967.78</v>
      </c>
      <c r="V191" s="177">
        <v>88375.93</v>
      </c>
      <c r="W191" s="177">
        <v>0</v>
      </c>
      <c r="X191" s="177">
        <v>500796.84</v>
      </c>
      <c r="Y191" s="177">
        <v>126673.16</v>
      </c>
      <c r="Z191" s="177">
        <v>1534.15</v>
      </c>
      <c r="AA191" s="177">
        <v>18503.72</v>
      </c>
      <c r="AB191" s="177">
        <v>0</v>
      </c>
      <c r="AC191" s="177">
        <v>0</v>
      </c>
      <c r="AD191" s="177">
        <v>0</v>
      </c>
      <c r="AE191" s="180">
        <v>0</v>
      </c>
      <c r="AF191" s="177">
        <v>1083.98</v>
      </c>
      <c r="AG191" s="177">
        <v>0</v>
      </c>
      <c r="AH191" s="177">
        <v>0</v>
      </c>
      <c r="AI191" s="137">
        <v>0</v>
      </c>
      <c r="AJ191" s="123">
        <v>9.9000000000000008E-3</v>
      </c>
      <c r="AK191" s="177" t="s">
        <v>122</v>
      </c>
      <c r="AL191" s="275"/>
      <c r="AM191" s="275">
        <f t="shared" si="5"/>
        <v>0</v>
      </c>
    </row>
    <row r="192" spans="1:39">
      <c r="A192" s="288" t="s">
        <v>490</v>
      </c>
      <c r="B192" s="289"/>
      <c r="C192" s="289" t="s">
        <v>466</v>
      </c>
      <c r="D192" s="289"/>
      <c r="E192" s="289"/>
      <c r="F192" s="289"/>
      <c r="G192" s="289"/>
      <c r="H192" s="289"/>
      <c r="I192" s="289"/>
      <c r="J192" s="186"/>
      <c r="K192" s="186" t="s">
        <v>122</v>
      </c>
      <c r="L192" s="289" t="s">
        <v>122</v>
      </c>
      <c r="M192" s="289"/>
      <c r="N192" s="289"/>
      <c r="O192" s="290">
        <v>0.01</v>
      </c>
      <c r="P192" s="291" t="s">
        <v>122</v>
      </c>
      <c r="Q192" s="291" t="s">
        <v>122</v>
      </c>
      <c r="R192" s="292">
        <v>1.75E-3</v>
      </c>
      <c r="S192" s="292">
        <v>2.5000000000000001E-4</v>
      </c>
      <c r="T192" s="289" t="s">
        <v>122</v>
      </c>
      <c r="U192" s="186"/>
      <c r="V192" s="186"/>
      <c r="W192" s="186"/>
      <c r="X192" s="186"/>
      <c r="Y192" s="186"/>
      <c r="Z192" s="186"/>
      <c r="AA192" s="186"/>
      <c r="AB192" s="186"/>
      <c r="AC192" s="186"/>
      <c r="AD192" s="186"/>
      <c r="AE192" s="186"/>
      <c r="AF192" s="186"/>
      <c r="AG192" s="186"/>
      <c r="AH192" s="186"/>
      <c r="AI192" s="142"/>
      <c r="AJ192" s="143"/>
      <c r="AK192" s="186" t="s">
        <v>122</v>
      </c>
      <c r="AL192" s="275"/>
      <c r="AM192" s="275"/>
    </row>
    <row r="193" spans="1:39">
      <c r="A193" s="288" t="s">
        <v>491</v>
      </c>
      <c r="B193" s="289" t="s">
        <v>492</v>
      </c>
      <c r="C193" s="289" t="s">
        <v>466</v>
      </c>
      <c r="D193" s="289" t="s">
        <v>43</v>
      </c>
      <c r="E193" s="289" t="s">
        <v>44</v>
      </c>
      <c r="F193" s="289" t="s">
        <v>55</v>
      </c>
      <c r="G193" s="289" t="s">
        <v>830</v>
      </c>
      <c r="H193" s="289" t="s">
        <v>62</v>
      </c>
      <c r="I193" s="289" t="s">
        <v>46</v>
      </c>
      <c r="J193" s="186">
        <v>1427831580</v>
      </c>
      <c r="K193" s="186" t="s">
        <v>122</v>
      </c>
      <c r="L193" s="289" t="s">
        <v>122</v>
      </c>
      <c r="M193" s="289">
        <v>7.62</v>
      </c>
      <c r="N193" s="289">
        <v>7.45</v>
      </c>
      <c r="O193" s="290">
        <v>0.02</v>
      </c>
      <c r="P193" s="291" t="s">
        <v>122</v>
      </c>
      <c r="Q193" s="291" t="s">
        <v>122</v>
      </c>
      <c r="R193" s="292">
        <v>1.75E-3</v>
      </c>
      <c r="S193" s="292">
        <v>2.5000000000000001E-4</v>
      </c>
      <c r="T193" s="289" t="s">
        <v>122</v>
      </c>
      <c r="U193" s="186">
        <f t="shared" si="4"/>
        <v>10687379</v>
      </c>
      <c r="V193" s="186">
        <v>1072329</v>
      </c>
      <c r="W193" s="186">
        <v>0</v>
      </c>
      <c r="X193" s="186">
        <v>6076538</v>
      </c>
      <c r="Y193" s="186">
        <v>2502104</v>
      </c>
      <c r="Z193" s="186">
        <v>635000</v>
      </c>
      <c r="AA193" s="186">
        <v>357195</v>
      </c>
      <c r="AB193" s="186">
        <v>0</v>
      </c>
      <c r="AC193" s="186">
        <v>0</v>
      </c>
      <c r="AD193" s="186">
        <v>6513</v>
      </c>
      <c r="AE193" s="186">
        <v>0</v>
      </c>
      <c r="AF193" s="186">
        <v>7700</v>
      </c>
      <c r="AG193" s="186">
        <v>0</v>
      </c>
      <c r="AH193" s="186">
        <v>30000</v>
      </c>
      <c r="AI193" s="143">
        <v>5.8999999999999999E-3</v>
      </c>
      <c r="AJ193" s="143">
        <v>1.34E-2</v>
      </c>
      <c r="AK193" s="186" t="s">
        <v>122</v>
      </c>
      <c r="AL193" s="275"/>
      <c r="AM193" s="275">
        <f t="shared" si="5"/>
        <v>2.8070493242543376E-3</v>
      </c>
    </row>
    <row r="194" spans="1:39">
      <c r="A194" s="226" t="s">
        <v>493</v>
      </c>
      <c r="B194" s="121" t="s">
        <v>494</v>
      </c>
      <c r="C194" s="121" t="s">
        <v>466</v>
      </c>
      <c r="D194" s="121" t="s">
        <v>43</v>
      </c>
      <c r="E194" s="121" t="s">
        <v>44</v>
      </c>
      <c r="F194" s="121" t="s">
        <v>55</v>
      </c>
      <c r="G194" s="121" t="s">
        <v>830</v>
      </c>
      <c r="H194" s="121" t="s">
        <v>62</v>
      </c>
      <c r="I194" s="121" t="s">
        <v>46</v>
      </c>
      <c r="J194" s="177">
        <v>53672052727</v>
      </c>
      <c r="K194" s="177" t="s">
        <v>122</v>
      </c>
      <c r="L194" s="121" t="s">
        <v>122</v>
      </c>
      <c r="M194" s="121">
        <v>6.91</v>
      </c>
      <c r="N194" s="121">
        <v>5.56</v>
      </c>
      <c r="O194" s="229">
        <v>0.01</v>
      </c>
      <c r="P194" s="99" t="s">
        <v>122</v>
      </c>
      <c r="Q194" s="99" t="s">
        <v>122</v>
      </c>
      <c r="R194" s="230">
        <v>1.75E-3</v>
      </c>
      <c r="S194" s="230">
        <v>2.5000000000000001E-4</v>
      </c>
      <c r="T194" s="121" t="s">
        <v>122</v>
      </c>
      <c r="U194" s="177">
        <f t="shared" si="4"/>
        <v>269525948</v>
      </c>
      <c r="V194" s="177">
        <v>24143193</v>
      </c>
      <c r="W194" s="177">
        <v>0</v>
      </c>
      <c r="X194" s="177">
        <v>136811435</v>
      </c>
      <c r="Y194" s="177">
        <v>93890202</v>
      </c>
      <c r="Z194" s="177">
        <v>762000</v>
      </c>
      <c r="AA194" s="177">
        <v>13395168</v>
      </c>
      <c r="AB194" s="177">
        <v>0</v>
      </c>
      <c r="AC194" s="177">
        <v>0</v>
      </c>
      <c r="AD194" s="177">
        <v>516250</v>
      </c>
      <c r="AE194" s="180">
        <v>0</v>
      </c>
      <c r="AF194" s="177">
        <v>7700</v>
      </c>
      <c r="AG194" s="177">
        <v>0</v>
      </c>
      <c r="AH194" s="177">
        <v>0</v>
      </c>
      <c r="AI194" s="123">
        <v>1.2800000000000001E-2</v>
      </c>
      <c r="AJ194" s="123">
        <v>1.78E-2</v>
      </c>
      <c r="AK194" s="177" t="s">
        <v>122</v>
      </c>
      <c r="AL194" s="275"/>
      <c r="AM194" s="275">
        <f t="shared" si="5"/>
        <v>0</v>
      </c>
    </row>
    <row r="195" spans="1:39">
      <c r="A195" s="293" t="s">
        <v>495</v>
      </c>
      <c r="B195" s="294" t="s">
        <v>496</v>
      </c>
      <c r="C195" s="294" t="s">
        <v>466</v>
      </c>
      <c r="D195" s="294"/>
      <c r="E195" s="294"/>
      <c r="F195" s="294"/>
      <c r="G195" s="294"/>
      <c r="H195" s="294"/>
      <c r="I195" s="294"/>
      <c r="J195" s="187"/>
      <c r="K195" s="187" t="s">
        <v>122</v>
      </c>
      <c r="L195" s="294" t="s">
        <v>122</v>
      </c>
      <c r="M195" s="294"/>
      <c r="N195" s="294"/>
      <c r="O195" s="295">
        <v>0.02</v>
      </c>
      <c r="P195" s="296" t="s">
        <v>122</v>
      </c>
      <c r="Q195" s="296" t="s">
        <v>122</v>
      </c>
      <c r="R195" s="297">
        <v>1.75E-3</v>
      </c>
      <c r="S195" s="297">
        <v>2.5000000000000001E-4</v>
      </c>
      <c r="T195" s="294" t="s">
        <v>122</v>
      </c>
      <c r="U195" s="187"/>
      <c r="V195" s="187"/>
      <c r="W195" s="187"/>
      <c r="X195" s="187"/>
      <c r="Y195" s="187"/>
      <c r="Z195" s="187"/>
      <c r="AA195" s="187"/>
      <c r="AB195" s="187"/>
      <c r="AC195" s="187"/>
      <c r="AD195" s="187"/>
      <c r="AE195" s="187"/>
      <c r="AF195" s="187"/>
      <c r="AG195" s="187"/>
      <c r="AH195" s="187"/>
      <c r="AI195" s="144"/>
      <c r="AJ195" s="134"/>
      <c r="AK195" s="187" t="s">
        <v>122</v>
      </c>
      <c r="AL195" s="275"/>
      <c r="AM195" s="275"/>
    </row>
    <row r="196" spans="1:39">
      <c r="A196" s="293" t="s">
        <v>497</v>
      </c>
      <c r="B196" s="294" t="s">
        <v>498</v>
      </c>
      <c r="C196" s="294" t="s">
        <v>466</v>
      </c>
      <c r="D196" s="294"/>
      <c r="E196" s="294"/>
      <c r="F196" s="294"/>
      <c r="G196" s="294"/>
      <c r="H196" s="294"/>
      <c r="I196" s="294"/>
      <c r="J196" s="187"/>
      <c r="K196" s="187" t="s">
        <v>122</v>
      </c>
      <c r="L196" s="294" t="s">
        <v>122</v>
      </c>
      <c r="M196" s="294"/>
      <c r="N196" s="294"/>
      <c r="O196" s="295">
        <v>1.4999999999999999E-2</v>
      </c>
      <c r="P196" s="296" t="s">
        <v>122</v>
      </c>
      <c r="Q196" s="296" t="s">
        <v>122</v>
      </c>
      <c r="R196" s="297">
        <v>1.75E-3</v>
      </c>
      <c r="S196" s="297">
        <v>2.5000000000000001E-4</v>
      </c>
      <c r="T196" s="294" t="s">
        <v>122</v>
      </c>
      <c r="U196" s="187">
        <f t="shared" si="4"/>
        <v>6544058</v>
      </c>
      <c r="V196" s="187">
        <v>3171320</v>
      </c>
      <c r="W196" s="187">
        <v>0</v>
      </c>
      <c r="X196" s="187">
        <v>3171320</v>
      </c>
      <c r="Y196" s="187"/>
      <c r="Z196" s="187"/>
      <c r="AA196" s="187">
        <v>201418</v>
      </c>
      <c r="AB196" s="187">
        <v>0</v>
      </c>
      <c r="AC196" s="187">
        <v>0</v>
      </c>
      <c r="AD196" s="187">
        <v>0</v>
      </c>
      <c r="AE196" s="187">
        <v>0</v>
      </c>
      <c r="AF196" s="187">
        <v>0</v>
      </c>
      <c r="AG196" s="187">
        <v>0</v>
      </c>
      <c r="AH196" s="187">
        <v>0</v>
      </c>
      <c r="AI196" s="144"/>
      <c r="AJ196" s="134"/>
      <c r="AK196" s="187" t="s">
        <v>122</v>
      </c>
      <c r="AL196" s="275"/>
      <c r="AM196" s="275">
        <f t="shared" si="5"/>
        <v>0</v>
      </c>
    </row>
    <row r="197" spans="1:39">
      <c r="A197" s="293" t="s">
        <v>499</v>
      </c>
      <c r="B197" s="294" t="s">
        <v>496</v>
      </c>
      <c r="C197" s="294" t="s">
        <v>466</v>
      </c>
      <c r="D197" s="294" t="s">
        <v>43</v>
      </c>
      <c r="E197" s="294" t="s">
        <v>44</v>
      </c>
      <c r="F197" s="294" t="s">
        <v>1349</v>
      </c>
      <c r="G197" s="294" t="s">
        <v>58</v>
      </c>
      <c r="H197" s="294" t="s">
        <v>45</v>
      </c>
      <c r="I197" s="294" t="s">
        <v>46</v>
      </c>
      <c r="J197" s="187">
        <v>2743457099</v>
      </c>
      <c r="K197" s="187" t="s">
        <v>122</v>
      </c>
      <c r="L197" s="294" t="s">
        <v>122</v>
      </c>
      <c r="M197" s="294">
        <v>0.5</v>
      </c>
      <c r="N197" s="294">
        <v>2.29</v>
      </c>
      <c r="O197" s="295">
        <v>0.01</v>
      </c>
      <c r="P197" s="296" t="s">
        <v>122</v>
      </c>
      <c r="Q197" s="296" t="s">
        <v>122</v>
      </c>
      <c r="R197" s="297">
        <v>1.75E-3</v>
      </c>
      <c r="S197" s="297">
        <v>2.5000000000000001E-4</v>
      </c>
      <c r="T197" s="294" t="s">
        <v>122</v>
      </c>
      <c r="U197" s="187">
        <f t="shared" si="4"/>
        <v>35814293</v>
      </c>
      <c r="V197" s="187">
        <v>2552368</v>
      </c>
      <c r="W197" s="187">
        <v>0</v>
      </c>
      <c r="X197" s="187">
        <v>14462654</v>
      </c>
      <c r="Y197" s="187">
        <v>4795746</v>
      </c>
      <c r="Z197" s="187">
        <v>825500</v>
      </c>
      <c r="AA197" s="187">
        <v>496910</v>
      </c>
      <c r="AB197" s="187">
        <v>0</v>
      </c>
      <c r="AC197" s="187">
        <v>0</v>
      </c>
      <c r="AD197" s="187">
        <v>12648615</v>
      </c>
      <c r="AE197" s="187">
        <v>0</v>
      </c>
      <c r="AF197" s="187">
        <v>2500</v>
      </c>
      <c r="AG197" s="187">
        <v>0</v>
      </c>
      <c r="AH197" s="187">
        <v>30000</v>
      </c>
      <c r="AI197" s="144">
        <v>0</v>
      </c>
      <c r="AJ197" s="134">
        <v>1.0800000000000001E-2</v>
      </c>
      <c r="AK197" s="187" t="s">
        <v>122</v>
      </c>
      <c r="AL197" s="275"/>
      <c r="AM197" s="275">
        <f t="shared" si="5"/>
        <v>8.3765439680744222E-4</v>
      </c>
    </row>
    <row r="198" spans="1:39">
      <c r="A198" s="293"/>
      <c r="B198" s="294"/>
      <c r="C198" s="294" t="s">
        <v>466</v>
      </c>
      <c r="D198" s="294"/>
      <c r="E198" s="294"/>
      <c r="F198" s="294"/>
      <c r="G198" s="294"/>
      <c r="H198" s="294"/>
      <c r="I198" s="294"/>
      <c r="J198" s="187"/>
      <c r="K198" s="187"/>
      <c r="L198" s="294"/>
      <c r="M198" s="294"/>
      <c r="N198" s="294"/>
      <c r="O198" s="295"/>
      <c r="P198" s="296"/>
      <c r="Q198" s="296"/>
      <c r="R198" s="297"/>
      <c r="S198" s="297"/>
      <c r="T198" s="294"/>
      <c r="U198" s="187">
        <f>SUM(U196:U197)</f>
        <v>42358351</v>
      </c>
      <c r="V198" s="187">
        <f>SUM(V196:V197)</f>
        <v>5723688</v>
      </c>
      <c r="W198" s="187"/>
      <c r="X198" s="187">
        <f>SUM(X196:X197)</f>
        <v>17633974</v>
      </c>
      <c r="Y198" s="187">
        <f>SUM(Y197)</f>
        <v>4795746</v>
      </c>
      <c r="Z198" s="187">
        <f>SUM(Z197)</f>
        <v>825500</v>
      </c>
      <c r="AA198" s="187">
        <f>SUM(AA196:AA197)</f>
        <v>698328</v>
      </c>
      <c r="AB198" s="187">
        <v>0</v>
      </c>
      <c r="AC198" s="187">
        <v>0</v>
      </c>
      <c r="AD198" s="187">
        <f>SUM(AD196:AD197)</f>
        <v>12648615</v>
      </c>
      <c r="AE198" s="187">
        <v>0</v>
      </c>
      <c r="AF198" s="187">
        <f>SUM(AF196:AF197)</f>
        <v>2500</v>
      </c>
      <c r="AG198" s="187">
        <v>0</v>
      </c>
      <c r="AH198" s="187">
        <f>SUM(AH196:AH197)</f>
        <v>30000</v>
      </c>
      <c r="AI198" s="144"/>
      <c r="AJ198" s="134"/>
      <c r="AK198" s="187"/>
      <c r="AL198" s="275"/>
      <c r="AM198" s="275">
        <f t="shared" si="5"/>
        <v>7.0824286809465268E-4</v>
      </c>
    </row>
    <row r="199" spans="1:39">
      <c r="A199" s="298" t="s">
        <v>500</v>
      </c>
      <c r="B199" s="128" t="s">
        <v>501</v>
      </c>
      <c r="C199" s="128" t="s">
        <v>466</v>
      </c>
      <c r="D199" s="128" t="s">
        <v>43</v>
      </c>
      <c r="E199" s="128" t="s">
        <v>44</v>
      </c>
      <c r="F199" s="128" t="s">
        <v>55</v>
      </c>
      <c r="G199" s="128" t="s">
        <v>97</v>
      </c>
      <c r="H199" s="128" t="s">
        <v>62</v>
      </c>
      <c r="I199" s="128" t="s">
        <v>46</v>
      </c>
      <c r="J199" s="177">
        <v>483346205</v>
      </c>
      <c r="K199" s="177" t="s">
        <v>122</v>
      </c>
      <c r="L199" s="121" t="s">
        <v>122</v>
      </c>
      <c r="M199" s="121">
        <v>3.95</v>
      </c>
      <c r="N199" s="121">
        <v>6.64</v>
      </c>
      <c r="O199" s="229">
        <v>0.02</v>
      </c>
      <c r="P199" s="99" t="s">
        <v>122</v>
      </c>
      <c r="Q199" s="99" t="s">
        <v>122</v>
      </c>
      <c r="R199" s="230">
        <v>1.75E-3</v>
      </c>
      <c r="S199" s="230">
        <v>2.5000000000000001E-4</v>
      </c>
      <c r="T199" s="121" t="s">
        <v>122</v>
      </c>
      <c r="U199" s="177">
        <f t="shared" si="4"/>
        <v>6450903</v>
      </c>
      <c r="V199" s="177">
        <v>724104</v>
      </c>
      <c r="W199" s="177">
        <v>0</v>
      </c>
      <c r="X199" s="177">
        <v>4103267</v>
      </c>
      <c r="Y199" s="177">
        <v>844791</v>
      </c>
      <c r="Z199" s="177">
        <v>457200</v>
      </c>
      <c r="AA199" s="177">
        <v>120555</v>
      </c>
      <c r="AB199" s="177">
        <v>0</v>
      </c>
      <c r="AC199" s="177">
        <v>0</v>
      </c>
      <c r="AD199" s="177">
        <v>104369</v>
      </c>
      <c r="AE199" s="180">
        <v>94117</v>
      </c>
      <c r="AF199" s="177">
        <v>2500</v>
      </c>
      <c r="AG199" s="177">
        <v>0</v>
      </c>
      <c r="AH199" s="177">
        <v>0</v>
      </c>
      <c r="AI199" s="123">
        <v>8.3000000000000001E-3</v>
      </c>
      <c r="AJ199" s="123">
        <v>2.12E-2</v>
      </c>
      <c r="AK199" s="177" t="s">
        <v>122</v>
      </c>
      <c r="AL199" s="275"/>
      <c r="AM199" s="275">
        <f t="shared" si="5"/>
        <v>0</v>
      </c>
    </row>
    <row r="200" spans="1:39">
      <c r="A200" s="226" t="s">
        <v>502</v>
      </c>
      <c r="B200" s="121" t="s">
        <v>503</v>
      </c>
      <c r="C200" s="121" t="s">
        <v>466</v>
      </c>
      <c r="D200" s="121" t="s">
        <v>43</v>
      </c>
      <c r="E200" s="121" t="s">
        <v>44</v>
      </c>
      <c r="F200" s="121" t="s">
        <v>55</v>
      </c>
      <c r="G200" s="128" t="s">
        <v>48</v>
      </c>
      <c r="H200" s="121" t="s">
        <v>45</v>
      </c>
      <c r="I200" s="121" t="s">
        <v>46</v>
      </c>
      <c r="J200" s="177">
        <v>2969747482</v>
      </c>
      <c r="K200" s="177" t="s">
        <v>122</v>
      </c>
      <c r="L200" s="121" t="s">
        <v>122</v>
      </c>
      <c r="M200" s="121">
        <v>8.17</v>
      </c>
      <c r="N200" s="121">
        <v>8.8699999999999992</v>
      </c>
      <c r="O200" s="229">
        <v>0.02</v>
      </c>
      <c r="P200" s="99" t="s">
        <v>122</v>
      </c>
      <c r="Q200" s="99" t="s">
        <v>122</v>
      </c>
      <c r="R200" s="230">
        <v>1.75E-3</v>
      </c>
      <c r="S200" s="230">
        <v>2.5000000000000001E-4</v>
      </c>
      <c r="T200" s="121" t="s">
        <v>122</v>
      </c>
      <c r="U200" s="177">
        <f t="shared" si="4"/>
        <v>21346294</v>
      </c>
      <c r="V200" s="177">
        <v>2224459</v>
      </c>
      <c r="W200" s="177">
        <v>0</v>
      </c>
      <c r="X200" s="177">
        <v>12605273</v>
      </c>
      <c r="Y200" s="177">
        <v>5190405</v>
      </c>
      <c r="Z200" s="177">
        <v>457200</v>
      </c>
      <c r="AA200" s="177">
        <v>742239</v>
      </c>
      <c r="AB200" s="177">
        <v>0</v>
      </c>
      <c r="AC200" s="177">
        <v>0</v>
      </c>
      <c r="AD200" s="177">
        <v>124218</v>
      </c>
      <c r="AE200" s="180">
        <v>0</v>
      </c>
      <c r="AF200" s="177">
        <v>2500</v>
      </c>
      <c r="AG200" s="177">
        <v>0</v>
      </c>
      <c r="AH200" s="177">
        <v>0</v>
      </c>
      <c r="AI200" s="123">
        <v>1.3299999999999999E-2</v>
      </c>
      <c r="AJ200" s="123">
        <v>2.0500000000000001E-2</v>
      </c>
      <c r="AK200" s="177" t="s">
        <v>122</v>
      </c>
      <c r="AL200" s="275"/>
      <c r="AM200" s="275">
        <f t="shared" si="5"/>
        <v>0</v>
      </c>
    </row>
    <row r="201" spans="1:39">
      <c r="A201" s="299" t="s">
        <v>504</v>
      </c>
      <c r="B201" s="300"/>
      <c r="C201" s="300" t="s">
        <v>466</v>
      </c>
      <c r="D201" s="300"/>
      <c r="E201" s="300"/>
      <c r="F201" s="300"/>
      <c r="G201" s="300"/>
      <c r="H201" s="300"/>
      <c r="I201" s="300"/>
      <c r="J201" s="188"/>
      <c r="K201" s="188" t="s">
        <v>122</v>
      </c>
      <c r="L201" s="300" t="s">
        <v>122</v>
      </c>
      <c r="M201" s="300"/>
      <c r="N201" s="300"/>
      <c r="O201" s="301">
        <v>0.02</v>
      </c>
      <c r="P201" s="302" t="s">
        <v>122</v>
      </c>
      <c r="Q201" s="302" t="s">
        <v>122</v>
      </c>
      <c r="R201" s="303">
        <v>6.9999999999999999E-4</v>
      </c>
      <c r="S201" s="303">
        <v>2.5000000000000001E-4</v>
      </c>
      <c r="T201" s="300" t="s">
        <v>122</v>
      </c>
      <c r="U201" s="188"/>
      <c r="V201" s="188"/>
      <c r="W201" s="188"/>
      <c r="X201" s="188"/>
      <c r="Y201" s="188"/>
      <c r="Z201" s="188"/>
      <c r="AA201" s="188"/>
      <c r="AB201" s="188"/>
      <c r="AC201" s="188"/>
      <c r="AD201" s="188"/>
      <c r="AE201" s="188"/>
      <c r="AF201" s="188"/>
      <c r="AG201" s="188"/>
      <c r="AH201" s="188"/>
      <c r="AI201" s="145"/>
      <c r="AJ201" s="146"/>
      <c r="AK201" s="188" t="s">
        <v>122</v>
      </c>
      <c r="AL201" s="275"/>
      <c r="AM201" s="275"/>
    </row>
    <row r="202" spans="1:39">
      <c r="A202" s="299" t="s">
        <v>505</v>
      </c>
      <c r="B202" s="300" t="s">
        <v>506</v>
      </c>
      <c r="C202" s="300" t="s">
        <v>466</v>
      </c>
      <c r="D202" s="300" t="s">
        <v>43</v>
      </c>
      <c r="E202" s="300" t="s">
        <v>44</v>
      </c>
      <c r="F202" s="300" t="s">
        <v>1348</v>
      </c>
      <c r="G202" s="304" t="s">
        <v>365</v>
      </c>
      <c r="H202" s="300" t="s">
        <v>45</v>
      </c>
      <c r="I202" s="300" t="s">
        <v>46</v>
      </c>
      <c r="J202" s="188">
        <v>5384894042</v>
      </c>
      <c r="K202" s="188" t="s">
        <v>122</v>
      </c>
      <c r="L202" s="300" t="s">
        <v>122</v>
      </c>
      <c r="M202" s="300">
        <v>3.94</v>
      </c>
      <c r="N202" s="300">
        <v>2.38</v>
      </c>
      <c r="O202" s="301">
        <v>0.02</v>
      </c>
      <c r="P202" s="302" t="s">
        <v>122</v>
      </c>
      <c r="Q202" s="302" t="s">
        <v>122</v>
      </c>
      <c r="R202" s="303">
        <v>6.9999999999999999E-4</v>
      </c>
      <c r="S202" s="303">
        <v>2.5000000000000001E-4</v>
      </c>
      <c r="T202" s="300" t="s">
        <v>122</v>
      </c>
      <c r="U202" s="188">
        <f t="shared" si="4"/>
        <v>75876360</v>
      </c>
      <c r="V202" s="188">
        <v>10499162</v>
      </c>
      <c r="W202" s="188">
        <v>0</v>
      </c>
      <c r="X202" s="188">
        <v>59495250</v>
      </c>
      <c r="Y202" s="188">
        <v>3768932</v>
      </c>
      <c r="Z202" s="188">
        <v>635000</v>
      </c>
      <c r="AA202" s="188">
        <v>1345072</v>
      </c>
      <c r="AB202" s="188">
        <v>0</v>
      </c>
      <c r="AC202" s="188">
        <v>0</v>
      </c>
      <c r="AD202" s="188">
        <v>0</v>
      </c>
      <c r="AE202" s="188">
        <v>0</v>
      </c>
      <c r="AF202" s="188">
        <v>132944</v>
      </c>
      <c r="AG202" s="188">
        <v>0</v>
      </c>
      <c r="AH202" s="188">
        <v>0</v>
      </c>
      <c r="AI202" s="145">
        <v>0</v>
      </c>
      <c r="AJ202" s="146">
        <v>1.41E-2</v>
      </c>
      <c r="AK202" s="188" t="s">
        <v>122</v>
      </c>
      <c r="AL202" s="275"/>
      <c r="AM202" s="275">
        <f t="shared" si="5"/>
        <v>0</v>
      </c>
    </row>
    <row r="203" spans="1:39">
      <c r="A203" s="305" t="s">
        <v>507</v>
      </c>
      <c r="B203" s="306"/>
      <c r="C203" s="306" t="s">
        <v>466</v>
      </c>
      <c r="D203" s="306"/>
      <c r="E203" s="306"/>
      <c r="F203" s="306"/>
      <c r="G203" s="306"/>
      <c r="H203" s="306"/>
      <c r="I203" s="306"/>
      <c r="J203" s="189"/>
      <c r="K203" s="189" t="s">
        <v>122</v>
      </c>
      <c r="L203" s="306" t="s">
        <v>122</v>
      </c>
      <c r="M203" s="306"/>
      <c r="N203" s="306"/>
      <c r="O203" s="307">
        <v>0.02</v>
      </c>
      <c r="P203" s="308" t="s">
        <v>122</v>
      </c>
      <c r="Q203" s="308" t="s">
        <v>122</v>
      </c>
      <c r="R203" s="309">
        <v>6.9999999999999999E-4</v>
      </c>
      <c r="S203" s="309">
        <v>2.5000000000000001E-4</v>
      </c>
      <c r="T203" s="306" t="s">
        <v>122</v>
      </c>
      <c r="U203" s="189"/>
      <c r="V203" s="189"/>
      <c r="W203" s="189"/>
      <c r="X203" s="189"/>
      <c r="Y203" s="189"/>
      <c r="Z203" s="189"/>
      <c r="AA203" s="189"/>
      <c r="AB203" s="189"/>
      <c r="AC203" s="189"/>
      <c r="AD203" s="189"/>
      <c r="AE203" s="189"/>
      <c r="AF203" s="189"/>
      <c r="AG203" s="189"/>
      <c r="AH203" s="189"/>
      <c r="AI203" s="147"/>
      <c r="AJ203" s="148"/>
      <c r="AK203" s="189" t="s">
        <v>122</v>
      </c>
      <c r="AL203" s="275"/>
      <c r="AM203" s="275"/>
    </row>
    <row r="204" spans="1:39">
      <c r="A204" s="305" t="s">
        <v>508</v>
      </c>
      <c r="B204" s="306"/>
      <c r="C204" s="306" t="s">
        <v>466</v>
      </c>
      <c r="D204" s="306"/>
      <c r="E204" s="306"/>
      <c r="F204" s="306"/>
      <c r="G204" s="306"/>
      <c r="H204" s="306"/>
      <c r="I204" s="306"/>
      <c r="J204" s="189"/>
      <c r="K204" s="189" t="s">
        <v>122</v>
      </c>
      <c r="L204" s="306" t="s">
        <v>122</v>
      </c>
      <c r="M204" s="306"/>
      <c r="N204" s="306"/>
      <c r="O204" s="307">
        <v>0.02</v>
      </c>
      <c r="P204" s="308" t="s">
        <v>122</v>
      </c>
      <c r="Q204" s="308" t="s">
        <v>122</v>
      </c>
      <c r="R204" s="309">
        <v>6.9999999999999999E-4</v>
      </c>
      <c r="S204" s="309">
        <v>2.5000000000000001E-4</v>
      </c>
      <c r="T204" s="306" t="s">
        <v>122</v>
      </c>
      <c r="U204" s="189"/>
      <c r="V204" s="189"/>
      <c r="W204" s="189"/>
      <c r="X204" s="189"/>
      <c r="Y204" s="189"/>
      <c r="Z204" s="189"/>
      <c r="AA204" s="189"/>
      <c r="AB204" s="189"/>
      <c r="AC204" s="189"/>
      <c r="AD204" s="189"/>
      <c r="AE204" s="189"/>
      <c r="AF204" s="189"/>
      <c r="AG204" s="189"/>
      <c r="AH204" s="189"/>
      <c r="AI204" s="147"/>
      <c r="AJ204" s="148"/>
      <c r="AK204" s="189" t="s">
        <v>122</v>
      </c>
      <c r="AL204" s="275"/>
      <c r="AM204" s="275"/>
    </row>
    <row r="205" spans="1:39">
      <c r="A205" s="305" t="s">
        <v>509</v>
      </c>
      <c r="B205" s="306" t="s">
        <v>510</v>
      </c>
      <c r="C205" s="306" t="s">
        <v>466</v>
      </c>
      <c r="D205" s="306" t="s">
        <v>43</v>
      </c>
      <c r="E205" s="306" t="s">
        <v>44</v>
      </c>
      <c r="F205" s="306" t="s">
        <v>1348</v>
      </c>
      <c r="G205" s="310" t="s">
        <v>365</v>
      </c>
      <c r="H205" s="306" t="s">
        <v>45</v>
      </c>
      <c r="I205" s="306" t="s">
        <v>46</v>
      </c>
      <c r="J205" s="189">
        <v>355472853</v>
      </c>
      <c r="K205" s="189" t="s">
        <v>122</v>
      </c>
      <c r="L205" s="306" t="s">
        <v>122</v>
      </c>
      <c r="M205" s="306">
        <v>3.53</v>
      </c>
      <c r="N205" s="306">
        <v>2.38</v>
      </c>
      <c r="O205" s="307">
        <v>0.02</v>
      </c>
      <c r="P205" s="308" t="s">
        <v>122</v>
      </c>
      <c r="Q205" s="308" t="s">
        <v>122</v>
      </c>
      <c r="R205" s="309">
        <v>6.9999999999999999E-4</v>
      </c>
      <c r="S205" s="309">
        <v>2.5000000000000001E-4</v>
      </c>
      <c r="T205" s="306" t="s">
        <v>122</v>
      </c>
      <c r="U205" s="189">
        <f t="shared" si="4"/>
        <v>6469239</v>
      </c>
      <c r="V205" s="189">
        <v>798700</v>
      </c>
      <c r="W205" s="189">
        <v>0</v>
      </c>
      <c r="X205" s="189">
        <v>4525970</v>
      </c>
      <c r="Y205" s="189">
        <v>248484</v>
      </c>
      <c r="Z205" s="189">
        <v>635000</v>
      </c>
      <c r="AA205" s="189">
        <v>88767</v>
      </c>
      <c r="AB205" s="189">
        <v>0</v>
      </c>
      <c r="AC205" s="189">
        <v>0</v>
      </c>
      <c r="AD205" s="189">
        <v>0</v>
      </c>
      <c r="AE205" s="189">
        <v>0</v>
      </c>
      <c r="AF205" s="189">
        <v>107318</v>
      </c>
      <c r="AG205" s="189">
        <v>0</v>
      </c>
      <c r="AH205" s="189">
        <v>65000</v>
      </c>
      <c r="AI205" s="147">
        <v>0</v>
      </c>
      <c r="AJ205" s="148">
        <v>1.7899999999999999E-2</v>
      </c>
      <c r="AK205" s="189" t="s">
        <v>122</v>
      </c>
      <c r="AL205" s="275"/>
      <c r="AM205" s="275">
        <f t="shared" si="5"/>
        <v>1.0047549642237672E-2</v>
      </c>
    </row>
    <row r="206" spans="1:39">
      <c r="A206" s="245" t="s">
        <v>511</v>
      </c>
      <c r="B206" s="121" t="s">
        <v>512</v>
      </c>
      <c r="C206" s="121" t="s">
        <v>466</v>
      </c>
      <c r="D206" s="121" t="s">
        <v>43</v>
      </c>
      <c r="E206" s="121" t="s">
        <v>44</v>
      </c>
      <c r="F206" s="121" t="s">
        <v>132</v>
      </c>
      <c r="G206" s="128" t="s">
        <v>116</v>
      </c>
      <c r="H206" s="121" t="s">
        <v>45</v>
      </c>
      <c r="I206" s="121" t="s">
        <v>46</v>
      </c>
      <c r="J206" s="177">
        <v>201963968004.00797</v>
      </c>
      <c r="K206" s="177" t="s">
        <v>122</v>
      </c>
      <c r="L206" s="121" t="s">
        <v>122</v>
      </c>
      <c r="M206" s="121">
        <v>5.86</v>
      </c>
      <c r="N206" s="121">
        <v>3.74</v>
      </c>
      <c r="O206" s="229">
        <v>0.02</v>
      </c>
      <c r="P206" s="99" t="s">
        <v>122</v>
      </c>
      <c r="Q206" s="99" t="s">
        <v>122</v>
      </c>
      <c r="R206" s="230">
        <v>6.9999999999999999E-4</v>
      </c>
      <c r="S206" s="230">
        <v>2.5000000000000001E-4</v>
      </c>
      <c r="T206" s="121" t="s">
        <v>122</v>
      </c>
      <c r="U206" s="177">
        <f t="shared" si="4"/>
        <v>3774741609</v>
      </c>
      <c r="V206" s="177">
        <v>565522155</v>
      </c>
      <c r="W206" s="177">
        <v>0</v>
      </c>
      <c r="X206" s="177">
        <v>2060495477</v>
      </c>
      <c r="Y206" s="177">
        <v>302958305</v>
      </c>
      <c r="Z206" s="177">
        <v>3850000</v>
      </c>
      <c r="AA206" s="177">
        <v>50470091</v>
      </c>
      <c r="AB206" s="177">
        <v>28052121</v>
      </c>
      <c r="AC206" s="177">
        <v>17214641</v>
      </c>
      <c r="AD206" s="180">
        <v>61213</v>
      </c>
      <c r="AE206" s="180">
        <v>0</v>
      </c>
      <c r="AF206" s="180">
        <v>2566544</v>
      </c>
      <c r="AG206" s="180">
        <v>75583621</v>
      </c>
      <c r="AH206" s="180">
        <v>667967441</v>
      </c>
      <c r="AI206" s="137">
        <v>0</v>
      </c>
      <c r="AJ206" s="123">
        <v>1.49E-2</v>
      </c>
      <c r="AK206" s="177" t="s">
        <v>122</v>
      </c>
      <c r="AL206" s="311"/>
      <c r="AM206" s="276">
        <f t="shared" si="5"/>
        <v>0.17695712983569148</v>
      </c>
    </row>
    <row r="207" spans="1:39">
      <c r="A207" s="312" t="s">
        <v>513</v>
      </c>
      <c r="B207" s="313"/>
      <c r="C207" s="313" t="s">
        <v>466</v>
      </c>
      <c r="D207" s="313"/>
      <c r="E207" s="313"/>
      <c r="F207" s="313"/>
      <c r="G207" s="313"/>
      <c r="H207" s="313"/>
      <c r="I207" s="313"/>
      <c r="J207" s="190"/>
      <c r="K207" s="190" t="s">
        <v>122</v>
      </c>
      <c r="L207" s="313" t="s">
        <v>122</v>
      </c>
      <c r="M207" s="313"/>
      <c r="N207" s="313"/>
      <c r="O207" s="314">
        <v>2.5000000000000001E-2</v>
      </c>
      <c r="P207" s="315" t="s">
        <v>122</v>
      </c>
      <c r="Q207" s="315" t="s">
        <v>122</v>
      </c>
      <c r="R207" s="316">
        <v>6.9999999999999999E-4</v>
      </c>
      <c r="S207" s="316">
        <v>2.5000000000000001E-4</v>
      </c>
      <c r="T207" s="313" t="s">
        <v>122</v>
      </c>
      <c r="U207" s="190"/>
      <c r="V207" s="190"/>
      <c r="W207" s="190"/>
      <c r="X207" s="190"/>
      <c r="Y207" s="190"/>
      <c r="Z207" s="190"/>
      <c r="AA207" s="190"/>
      <c r="AB207" s="190"/>
      <c r="AC207" s="190"/>
      <c r="AD207" s="190"/>
      <c r="AE207" s="190"/>
      <c r="AF207" s="190"/>
      <c r="AG207" s="190"/>
      <c r="AH207" s="190"/>
      <c r="AI207" s="149"/>
      <c r="AJ207" s="150"/>
      <c r="AK207" s="190" t="s">
        <v>122</v>
      </c>
      <c r="AL207" s="311"/>
      <c r="AM207" s="275"/>
    </row>
    <row r="208" spans="1:39">
      <c r="A208" s="312" t="s">
        <v>514</v>
      </c>
      <c r="B208" s="313"/>
      <c r="C208" s="313" t="s">
        <v>466</v>
      </c>
      <c r="D208" s="313"/>
      <c r="E208" s="313"/>
      <c r="F208" s="313"/>
      <c r="G208" s="313"/>
      <c r="H208" s="313"/>
      <c r="I208" s="313"/>
      <c r="J208" s="190"/>
      <c r="K208" s="190" t="s">
        <v>122</v>
      </c>
      <c r="L208" s="313" t="s">
        <v>122</v>
      </c>
      <c r="M208" s="313"/>
      <c r="N208" s="313"/>
      <c r="O208" s="314">
        <v>2.5000000000000001E-2</v>
      </c>
      <c r="P208" s="315" t="s">
        <v>122</v>
      </c>
      <c r="Q208" s="315" t="s">
        <v>122</v>
      </c>
      <c r="R208" s="316">
        <v>6.9999999999999999E-4</v>
      </c>
      <c r="S208" s="316">
        <v>2.5000000000000001E-4</v>
      </c>
      <c r="T208" s="313" t="s">
        <v>122</v>
      </c>
      <c r="U208" s="190"/>
      <c r="V208" s="190"/>
      <c r="W208" s="190"/>
      <c r="X208" s="190"/>
      <c r="Y208" s="190"/>
      <c r="Z208" s="190"/>
      <c r="AA208" s="190"/>
      <c r="AB208" s="190"/>
      <c r="AC208" s="190"/>
      <c r="AD208" s="190"/>
      <c r="AE208" s="190"/>
      <c r="AF208" s="190"/>
      <c r="AG208" s="190"/>
      <c r="AH208" s="190"/>
      <c r="AI208" s="149"/>
      <c r="AJ208" s="150"/>
      <c r="AK208" s="190" t="s">
        <v>122</v>
      </c>
      <c r="AL208" s="311"/>
      <c r="AM208" s="275"/>
    </row>
    <row r="209" spans="1:39">
      <c r="A209" s="312" t="s">
        <v>515</v>
      </c>
      <c r="B209" s="313" t="s">
        <v>516</v>
      </c>
      <c r="C209" s="313" t="s">
        <v>466</v>
      </c>
      <c r="D209" s="313" t="s">
        <v>43</v>
      </c>
      <c r="E209" s="313" t="s">
        <v>44</v>
      </c>
      <c r="F209" s="313" t="s">
        <v>55</v>
      </c>
      <c r="G209" s="313" t="s">
        <v>56</v>
      </c>
      <c r="H209" s="313" t="s">
        <v>45</v>
      </c>
      <c r="I209" s="313" t="s">
        <v>46</v>
      </c>
      <c r="J209" s="190">
        <v>30123065040</v>
      </c>
      <c r="K209" s="190" t="s">
        <v>122</v>
      </c>
      <c r="L209" s="313" t="s">
        <v>122</v>
      </c>
      <c r="M209" s="313">
        <v>5.1100000000000003</v>
      </c>
      <c r="N209" s="313">
        <v>3.74</v>
      </c>
      <c r="O209" s="314">
        <v>2.5000000000000001E-2</v>
      </c>
      <c r="P209" s="315" t="s">
        <v>122</v>
      </c>
      <c r="Q209" s="315" t="s">
        <v>122</v>
      </c>
      <c r="R209" s="316">
        <v>6.9999999999999999E-4</v>
      </c>
      <c r="S209" s="316">
        <v>2.5000000000000001E-4</v>
      </c>
      <c r="T209" s="313" t="s">
        <v>122</v>
      </c>
      <c r="U209" s="190">
        <f t="shared" si="4"/>
        <v>330937952</v>
      </c>
      <c r="V209" s="190">
        <v>45194562</v>
      </c>
      <c r="W209" s="190">
        <v>0</v>
      </c>
      <c r="X209" s="190">
        <v>256102538</v>
      </c>
      <c r="Y209" s="190">
        <v>21090796</v>
      </c>
      <c r="Z209" s="190">
        <v>952500</v>
      </c>
      <c r="AA209" s="190">
        <v>7530056</v>
      </c>
      <c r="AB209" s="190">
        <v>0</v>
      </c>
      <c r="AC209" s="190">
        <v>0</v>
      </c>
      <c r="AD209" s="190">
        <v>0</v>
      </c>
      <c r="AE209" s="190">
        <v>0</v>
      </c>
      <c r="AF209" s="190">
        <v>2500</v>
      </c>
      <c r="AG209" s="190">
        <v>0</v>
      </c>
      <c r="AH209" s="190">
        <v>65000</v>
      </c>
      <c r="AI209" s="150">
        <v>1.46E-2</v>
      </c>
      <c r="AJ209" s="150">
        <v>2.5600000000000001E-2</v>
      </c>
      <c r="AK209" s="190" t="s">
        <v>122</v>
      </c>
      <c r="AL209" s="311"/>
      <c r="AM209" s="275">
        <f t="shared" si="5"/>
        <v>1.9641144089753719E-4</v>
      </c>
    </row>
    <row r="210" spans="1:39">
      <c r="A210" s="317" t="s">
        <v>517</v>
      </c>
      <c r="B210" s="128" t="s">
        <v>518</v>
      </c>
      <c r="C210" s="128" t="s">
        <v>466</v>
      </c>
      <c r="D210" s="128" t="s">
        <v>43</v>
      </c>
      <c r="E210" s="128" t="s">
        <v>44</v>
      </c>
      <c r="F210" s="128" t="s">
        <v>132</v>
      </c>
      <c r="G210" s="128" t="s">
        <v>116</v>
      </c>
      <c r="H210" s="128" t="s">
        <v>45</v>
      </c>
      <c r="I210" s="128" t="s">
        <v>69</v>
      </c>
      <c r="J210" s="177">
        <v>184879644.05087644</v>
      </c>
      <c r="K210" s="177" t="s">
        <v>122</v>
      </c>
      <c r="L210" s="121" t="s">
        <v>122</v>
      </c>
      <c r="M210" s="121">
        <v>2.95</v>
      </c>
      <c r="N210" s="121">
        <v>3.74</v>
      </c>
      <c r="O210" s="229">
        <v>0.02</v>
      </c>
      <c r="P210" s="99" t="s">
        <v>122</v>
      </c>
      <c r="Q210" s="99" t="s">
        <v>122</v>
      </c>
      <c r="R210" s="230">
        <v>1.5E-3</v>
      </c>
      <c r="S210" s="230">
        <v>2.5000000000000001E-4</v>
      </c>
      <c r="T210" s="121" t="s">
        <v>122</v>
      </c>
      <c r="U210" s="177">
        <f t="shared" si="4"/>
        <v>3100133</v>
      </c>
      <c r="V210" s="177">
        <v>519425</v>
      </c>
      <c r="W210" s="177">
        <v>0</v>
      </c>
      <c r="X210" s="177">
        <v>1892193</v>
      </c>
      <c r="Y210" s="177">
        <v>278264</v>
      </c>
      <c r="Z210" s="177">
        <v>3873</v>
      </c>
      <c r="AA210" s="177">
        <v>46202</v>
      </c>
      <c r="AB210" s="177">
        <v>0</v>
      </c>
      <c r="AC210" s="177">
        <v>23554</v>
      </c>
      <c r="AD210" s="180">
        <v>0</v>
      </c>
      <c r="AE210" s="180">
        <v>0</v>
      </c>
      <c r="AF210" s="180">
        <v>5101</v>
      </c>
      <c r="AG210" s="180">
        <v>3079</v>
      </c>
      <c r="AH210" s="180">
        <v>328442</v>
      </c>
      <c r="AI210" s="137">
        <v>0</v>
      </c>
      <c r="AJ210" s="123">
        <v>1.4999999999999999E-2</v>
      </c>
      <c r="AK210" s="177" t="s">
        <v>122</v>
      </c>
      <c r="AL210" s="311"/>
      <c r="AM210" s="276">
        <f t="shared" si="5"/>
        <v>0.10594448689782018</v>
      </c>
    </row>
    <row r="211" spans="1:39">
      <c r="A211" s="226" t="s">
        <v>519</v>
      </c>
      <c r="B211" s="121" t="s">
        <v>520</v>
      </c>
      <c r="C211" s="121" t="s">
        <v>466</v>
      </c>
      <c r="D211" s="121" t="s">
        <v>43</v>
      </c>
      <c r="E211" s="121" t="s">
        <v>44</v>
      </c>
      <c r="F211" s="121" t="s">
        <v>1348</v>
      </c>
      <c r="G211" s="128" t="s">
        <v>81</v>
      </c>
      <c r="H211" s="121" t="s">
        <v>45</v>
      </c>
      <c r="I211" s="121" t="s">
        <v>46</v>
      </c>
      <c r="J211" s="177">
        <v>53764600529</v>
      </c>
      <c r="K211" s="177" t="s">
        <v>122</v>
      </c>
      <c r="L211" s="121" t="s">
        <v>122</v>
      </c>
      <c r="M211" s="121">
        <v>6.86</v>
      </c>
      <c r="N211" s="121">
        <v>5.66</v>
      </c>
      <c r="O211" s="229">
        <v>1.4999999999999999E-2</v>
      </c>
      <c r="P211" s="99" t="s">
        <v>122</v>
      </c>
      <c r="Q211" s="99" t="s">
        <v>122</v>
      </c>
      <c r="R211" s="230">
        <v>1.4E-3</v>
      </c>
      <c r="S211" s="230">
        <v>2.5000000000000001E-4</v>
      </c>
      <c r="T211" s="121" t="s">
        <v>122</v>
      </c>
      <c r="U211" s="177">
        <f t="shared" si="4"/>
        <v>795137800</v>
      </c>
      <c r="V211" s="177">
        <v>104866321</v>
      </c>
      <c r="W211" s="177">
        <v>0</v>
      </c>
      <c r="X211" s="177">
        <v>594242457</v>
      </c>
      <c r="Y211" s="177">
        <v>75288637</v>
      </c>
      <c r="Z211" s="177">
        <v>762000</v>
      </c>
      <c r="AA211" s="177">
        <v>13416376</v>
      </c>
      <c r="AB211" s="177">
        <v>0</v>
      </c>
      <c r="AC211" s="177">
        <v>0</v>
      </c>
      <c r="AD211" s="177">
        <v>6287016</v>
      </c>
      <c r="AE211" s="180">
        <v>0</v>
      </c>
      <c r="AF211" s="177">
        <v>274993</v>
      </c>
      <c r="AG211" s="177">
        <v>0</v>
      </c>
      <c r="AH211" s="177">
        <v>0</v>
      </c>
      <c r="AI211" s="137">
        <v>0</v>
      </c>
      <c r="AJ211" s="123">
        <v>1.47E-2</v>
      </c>
      <c r="AK211" s="177" t="s">
        <v>122</v>
      </c>
      <c r="AL211" s="311"/>
      <c r="AM211" s="275">
        <f t="shared" si="5"/>
        <v>0</v>
      </c>
    </row>
    <row r="212" spans="1:39">
      <c r="A212" s="318" t="s">
        <v>521</v>
      </c>
      <c r="B212" s="319"/>
      <c r="C212" s="319" t="s">
        <v>466</v>
      </c>
      <c r="D212" s="319"/>
      <c r="E212" s="319"/>
      <c r="F212" s="319" t="s">
        <v>1348</v>
      </c>
      <c r="G212" s="319"/>
      <c r="H212" s="319"/>
      <c r="I212" s="319"/>
      <c r="J212" s="191"/>
      <c r="K212" s="191" t="s">
        <v>122</v>
      </c>
      <c r="L212" s="319" t="s">
        <v>122</v>
      </c>
      <c r="M212" s="319"/>
      <c r="N212" s="319"/>
      <c r="O212" s="320">
        <v>0.02</v>
      </c>
      <c r="P212" s="321" t="s">
        <v>122</v>
      </c>
      <c r="Q212" s="321" t="s">
        <v>122</v>
      </c>
      <c r="R212" s="322">
        <v>1.75E-3</v>
      </c>
      <c r="S212" s="322">
        <v>2.5000000000000001E-4</v>
      </c>
      <c r="T212" s="319" t="s">
        <v>122</v>
      </c>
      <c r="U212" s="191"/>
      <c r="V212" s="191"/>
      <c r="W212" s="191"/>
      <c r="X212" s="191"/>
      <c r="Y212" s="191"/>
      <c r="Z212" s="191"/>
      <c r="AA212" s="191"/>
      <c r="AB212" s="191"/>
      <c r="AC212" s="191"/>
      <c r="AD212" s="191"/>
      <c r="AE212" s="191"/>
      <c r="AF212" s="191"/>
      <c r="AG212" s="191"/>
      <c r="AH212" s="191"/>
      <c r="AI212" s="151"/>
      <c r="AJ212" s="152"/>
      <c r="AK212" s="191" t="s">
        <v>122</v>
      </c>
      <c r="AL212" s="275"/>
      <c r="AM212" s="275"/>
    </row>
    <row r="213" spans="1:39">
      <c r="A213" s="318" t="s">
        <v>522</v>
      </c>
      <c r="B213" s="319" t="s">
        <v>523</v>
      </c>
      <c r="C213" s="319" t="s">
        <v>466</v>
      </c>
      <c r="D213" s="319" t="s">
        <v>43</v>
      </c>
      <c r="E213" s="319" t="s">
        <v>44</v>
      </c>
      <c r="F213" s="319" t="s">
        <v>55</v>
      </c>
      <c r="G213" s="319" t="s">
        <v>58</v>
      </c>
      <c r="H213" s="319" t="s">
        <v>62</v>
      </c>
      <c r="I213" s="319" t="s">
        <v>46</v>
      </c>
      <c r="J213" s="191">
        <v>643309257</v>
      </c>
      <c r="K213" s="191" t="s">
        <v>122</v>
      </c>
      <c r="L213" s="319" t="s">
        <v>122</v>
      </c>
      <c r="M213" s="319">
        <v>18.34</v>
      </c>
      <c r="N213" s="319">
        <v>20.53</v>
      </c>
      <c r="O213" s="320">
        <v>0.02</v>
      </c>
      <c r="P213" s="321" t="s">
        <v>122</v>
      </c>
      <c r="Q213" s="321" t="s">
        <v>122</v>
      </c>
      <c r="R213" s="322">
        <v>1.75E-3</v>
      </c>
      <c r="S213" s="322">
        <v>2.5000000000000001E-4</v>
      </c>
      <c r="T213" s="319" t="s">
        <v>122</v>
      </c>
      <c r="U213" s="191">
        <f t="shared" si="4"/>
        <v>16995033</v>
      </c>
      <c r="V213" s="191">
        <v>1875137</v>
      </c>
      <c r="W213" s="191">
        <v>0</v>
      </c>
      <c r="X213" s="191">
        <v>10625777</v>
      </c>
      <c r="Y213" s="191">
        <v>1123265</v>
      </c>
      <c r="Z213" s="191">
        <v>571500</v>
      </c>
      <c r="AA213" s="191">
        <v>160734</v>
      </c>
      <c r="AB213" s="191">
        <v>0</v>
      </c>
      <c r="AC213" s="191">
        <v>0</v>
      </c>
      <c r="AD213" s="191">
        <v>2450901</v>
      </c>
      <c r="AE213" s="191">
        <v>0</v>
      </c>
      <c r="AF213" s="191">
        <v>68754</v>
      </c>
      <c r="AG213" s="191">
        <v>0</v>
      </c>
      <c r="AH213" s="191">
        <v>118965</v>
      </c>
      <c r="AI213" s="151"/>
      <c r="AJ213" s="152">
        <v>2.41E-2</v>
      </c>
      <c r="AK213" s="191" t="s">
        <v>122</v>
      </c>
      <c r="AL213" s="275"/>
      <c r="AM213" s="275">
        <f t="shared" si="5"/>
        <v>6.999986407793383E-3</v>
      </c>
    </row>
    <row r="214" spans="1:39">
      <c r="A214" s="323" t="s">
        <v>524</v>
      </c>
      <c r="B214" s="324"/>
      <c r="C214" s="324" t="s">
        <v>466</v>
      </c>
      <c r="D214" s="324"/>
      <c r="E214" s="324"/>
      <c r="F214" s="324"/>
      <c r="G214" s="324"/>
      <c r="H214" s="324"/>
      <c r="I214" s="324"/>
      <c r="J214" s="192"/>
      <c r="K214" s="192" t="s">
        <v>122</v>
      </c>
      <c r="L214" s="325" t="s">
        <v>122</v>
      </c>
      <c r="M214" s="325"/>
      <c r="N214" s="325"/>
      <c r="O214" s="326">
        <v>0.02</v>
      </c>
      <c r="P214" s="327" t="s">
        <v>122</v>
      </c>
      <c r="Q214" s="327" t="s">
        <v>122</v>
      </c>
      <c r="R214" s="328">
        <v>1.75E-3</v>
      </c>
      <c r="S214" s="328">
        <v>2.5000000000000001E-4</v>
      </c>
      <c r="T214" s="325" t="s">
        <v>122</v>
      </c>
      <c r="U214" s="192"/>
      <c r="V214" s="192"/>
      <c r="W214" s="192"/>
      <c r="X214" s="192"/>
      <c r="Y214" s="192"/>
      <c r="Z214" s="192"/>
      <c r="AA214" s="192"/>
      <c r="AB214" s="192"/>
      <c r="AC214" s="192"/>
      <c r="AD214" s="192"/>
      <c r="AE214" s="192"/>
      <c r="AF214" s="192"/>
      <c r="AG214" s="192"/>
      <c r="AH214" s="192"/>
      <c r="AI214" s="153"/>
      <c r="AJ214" s="154"/>
      <c r="AK214" s="192" t="s">
        <v>122</v>
      </c>
      <c r="AL214" s="275"/>
      <c r="AM214" s="275"/>
    </row>
    <row r="215" spans="1:39">
      <c r="A215" s="323" t="s">
        <v>525</v>
      </c>
      <c r="B215" s="324" t="s">
        <v>526</v>
      </c>
      <c r="C215" s="324" t="s">
        <v>466</v>
      </c>
      <c r="D215" s="324" t="s">
        <v>43</v>
      </c>
      <c r="E215" s="324" t="s">
        <v>44</v>
      </c>
      <c r="F215" s="324" t="s">
        <v>55</v>
      </c>
      <c r="G215" s="324" t="s">
        <v>97</v>
      </c>
      <c r="H215" s="324" t="s">
        <v>62</v>
      </c>
      <c r="I215" s="324" t="s">
        <v>46</v>
      </c>
      <c r="J215" s="192">
        <v>1039687694</v>
      </c>
      <c r="K215" s="192" t="s">
        <v>122</v>
      </c>
      <c r="L215" s="325" t="s">
        <v>122</v>
      </c>
      <c r="M215" s="325">
        <v>16.010000000000002</v>
      </c>
      <c r="N215" s="325">
        <v>24.22</v>
      </c>
      <c r="O215" s="326">
        <v>0.02</v>
      </c>
      <c r="P215" s="327" t="s">
        <v>122</v>
      </c>
      <c r="Q215" s="327" t="s">
        <v>122</v>
      </c>
      <c r="R215" s="328">
        <v>1.75E-3</v>
      </c>
      <c r="S215" s="328">
        <v>2.5000000000000001E-4</v>
      </c>
      <c r="T215" s="325" t="s">
        <v>122</v>
      </c>
      <c r="U215" s="192">
        <f t="shared" si="4"/>
        <v>6344629</v>
      </c>
      <c r="V215" s="192">
        <v>547737</v>
      </c>
      <c r="W215" s="192">
        <v>0</v>
      </c>
      <c r="X215" s="192">
        <v>3103847</v>
      </c>
      <c r="Y215" s="192">
        <v>1824312</v>
      </c>
      <c r="Z215" s="192">
        <v>571500</v>
      </c>
      <c r="AA215" s="192">
        <v>259733</v>
      </c>
      <c r="AB215" s="192">
        <v>0</v>
      </c>
      <c r="AC215" s="192">
        <v>0</v>
      </c>
      <c r="AD215" s="192">
        <v>0</v>
      </c>
      <c r="AE215" s="192">
        <v>0</v>
      </c>
      <c r="AF215" s="192">
        <v>2500</v>
      </c>
      <c r="AG215" s="192">
        <v>0</v>
      </c>
      <c r="AH215" s="192">
        <v>35000</v>
      </c>
      <c r="AI215" s="154">
        <v>1.3599999999999999E-2</v>
      </c>
      <c r="AJ215" s="154">
        <v>1.9699999999999999E-2</v>
      </c>
      <c r="AK215" s="192" t="s">
        <v>122</v>
      </c>
      <c r="AL215" s="275"/>
      <c r="AM215" s="275">
        <f t="shared" si="5"/>
        <v>5.5164770075602533E-3</v>
      </c>
    </row>
    <row r="216" spans="1:39">
      <c r="A216" s="329" t="s">
        <v>527</v>
      </c>
      <c r="B216" s="330"/>
      <c r="C216" s="330" t="s">
        <v>466</v>
      </c>
      <c r="D216" s="330"/>
      <c r="E216" s="330"/>
      <c r="F216" s="330"/>
      <c r="G216" s="330"/>
      <c r="H216" s="330"/>
      <c r="I216" s="330"/>
      <c r="J216" s="193"/>
      <c r="K216" s="193" t="s">
        <v>122</v>
      </c>
      <c r="L216" s="330" t="s">
        <v>122</v>
      </c>
      <c r="M216" s="330"/>
      <c r="N216" s="330"/>
      <c r="O216" s="331">
        <v>0.02</v>
      </c>
      <c r="P216" s="332" t="s">
        <v>122</v>
      </c>
      <c r="Q216" s="332" t="s">
        <v>122</v>
      </c>
      <c r="R216" s="333">
        <v>1.75E-3</v>
      </c>
      <c r="S216" s="333">
        <v>2.5000000000000001E-4</v>
      </c>
      <c r="T216" s="330" t="s">
        <v>122</v>
      </c>
      <c r="U216" s="193"/>
      <c r="V216" s="193"/>
      <c r="W216" s="193"/>
      <c r="X216" s="193"/>
      <c r="Y216" s="193"/>
      <c r="Z216" s="193"/>
      <c r="AA216" s="193"/>
      <c r="AB216" s="193"/>
      <c r="AC216" s="193"/>
      <c r="AD216" s="193"/>
      <c r="AE216" s="193"/>
      <c r="AF216" s="193"/>
      <c r="AG216" s="193"/>
      <c r="AH216" s="193"/>
      <c r="AI216" s="155"/>
      <c r="AJ216" s="155"/>
      <c r="AK216" s="193" t="s">
        <v>122</v>
      </c>
      <c r="AL216" s="275"/>
      <c r="AM216" s="275"/>
    </row>
    <row r="217" spans="1:39">
      <c r="A217" s="329" t="s">
        <v>528</v>
      </c>
      <c r="B217" s="330" t="s">
        <v>529</v>
      </c>
      <c r="C217" s="330" t="s">
        <v>466</v>
      </c>
      <c r="D217" s="330" t="s">
        <v>43</v>
      </c>
      <c r="E217" s="330" t="s">
        <v>44</v>
      </c>
      <c r="F217" s="330" t="s">
        <v>884</v>
      </c>
      <c r="G217" s="330" t="s">
        <v>97</v>
      </c>
      <c r="H217" s="330" t="s">
        <v>62</v>
      </c>
      <c r="I217" s="330" t="s">
        <v>46</v>
      </c>
      <c r="J217" s="193">
        <v>341621600</v>
      </c>
      <c r="K217" s="193" t="s">
        <v>122</v>
      </c>
      <c r="L217" s="330" t="s">
        <v>122</v>
      </c>
      <c r="M217" s="330">
        <v>2.59</v>
      </c>
      <c r="N217" s="330">
        <v>5.66</v>
      </c>
      <c r="O217" s="331">
        <v>0.02</v>
      </c>
      <c r="P217" s="332" t="s">
        <v>122</v>
      </c>
      <c r="Q217" s="332" t="s">
        <v>122</v>
      </c>
      <c r="R217" s="333">
        <v>1.75E-3</v>
      </c>
      <c r="S217" s="333">
        <v>2.5000000000000001E-4</v>
      </c>
      <c r="T217" s="330" t="s">
        <v>122</v>
      </c>
      <c r="U217" s="193">
        <f t="shared" si="4"/>
        <v>5965318</v>
      </c>
      <c r="V217" s="193">
        <v>514534</v>
      </c>
      <c r="W217" s="193">
        <v>0</v>
      </c>
      <c r="X217" s="193">
        <v>2910841</v>
      </c>
      <c r="Y217" s="193">
        <v>599441</v>
      </c>
      <c r="Z217" s="193">
        <v>508000</v>
      </c>
      <c r="AA217" s="193">
        <v>85473</v>
      </c>
      <c r="AB217" s="193">
        <v>0</v>
      </c>
      <c r="AC217" s="193">
        <v>0</v>
      </c>
      <c r="AD217" s="193">
        <v>1314529</v>
      </c>
      <c r="AE217" s="193">
        <v>0</v>
      </c>
      <c r="AF217" s="193">
        <v>2500</v>
      </c>
      <c r="AG217" s="193">
        <v>0</v>
      </c>
      <c r="AH217" s="193">
        <v>30000</v>
      </c>
      <c r="AI217" s="155">
        <v>3.3999999999999998E-3</v>
      </c>
      <c r="AJ217" s="155">
        <v>1.5100000000000001E-2</v>
      </c>
      <c r="AK217" s="193" t="s">
        <v>122</v>
      </c>
      <c r="AL217" s="275"/>
      <c r="AM217" s="275">
        <f t="shared" si="5"/>
        <v>5.0290696992180469E-3</v>
      </c>
    </row>
    <row r="218" spans="1:39" ht="38.25">
      <c r="A218" s="226" t="s">
        <v>530</v>
      </c>
      <c r="B218" s="121" t="s">
        <v>531</v>
      </c>
      <c r="C218" s="121" t="s">
        <v>466</v>
      </c>
      <c r="D218" s="121" t="s">
        <v>43</v>
      </c>
      <c r="E218" s="121" t="s">
        <v>44</v>
      </c>
      <c r="F218" s="121" t="s">
        <v>55</v>
      </c>
      <c r="G218" s="128" t="s">
        <v>830</v>
      </c>
      <c r="H218" s="121" t="s">
        <v>62</v>
      </c>
      <c r="I218" s="121" t="s">
        <v>46</v>
      </c>
      <c r="J218" s="177">
        <v>408982482</v>
      </c>
      <c r="K218" s="177" t="s">
        <v>122</v>
      </c>
      <c r="L218" s="121" t="s">
        <v>122</v>
      </c>
      <c r="M218" s="121">
        <v>9.2200000000000006</v>
      </c>
      <c r="N218" s="121">
        <v>8.06</v>
      </c>
      <c r="O218" s="229">
        <v>0.02</v>
      </c>
      <c r="P218" s="250" t="s">
        <v>532</v>
      </c>
      <c r="Q218" s="250" t="s">
        <v>444</v>
      </c>
      <c r="R218" s="230">
        <v>1.75E-3</v>
      </c>
      <c r="S218" s="230">
        <v>2.5000000000000001E-4</v>
      </c>
      <c r="T218" s="121" t="s">
        <v>122</v>
      </c>
      <c r="U218" s="177">
        <f t="shared" si="4"/>
        <v>1391968</v>
      </c>
      <c r="V218" s="177">
        <v>0</v>
      </c>
      <c r="W218" s="177">
        <v>0</v>
      </c>
      <c r="X218" s="177">
        <v>0</v>
      </c>
      <c r="Y218" s="177">
        <v>715803</v>
      </c>
      <c r="Z218" s="177">
        <v>571500</v>
      </c>
      <c r="AA218" s="177">
        <v>102165</v>
      </c>
      <c r="AB218" s="177">
        <v>0</v>
      </c>
      <c r="AC218" s="177">
        <v>0</v>
      </c>
      <c r="AD218" s="177">
        <v>0</v>
      </c>
      <c r="AE218" s="180">
        <v>0</v>
      </c>
      <c r="AF218" s="177">
        <v>2500</v>
      </c>
      <c r="AG218" s="177">
        <v>0</v>
      </c>
      <c r="AH218" s="177">
        <v>0</v>
      </c>
      <c r="AI218" s="123">
        <v>1.6899999999999998E-2</v>
      </c>
      <c r="AJ218" s="123">
        <v>2.0299999999999999E-2</v>
      </c>
      <c r="AK218" s="177" t="s">
        <v>122</v>
      </c>
      <c r="AL218" s="275"/>
      <c r="AM218" s="275">
        <f t="shared" si="5"/>
        <v>0</v>
      </c>
    </row>
    <row r="219" spans="1:39">
      <c r="A219" s="334" t="s">
        <v>533</v>
      </c>
      <c r="B219" s="335"/>
      <c r="C219" s="335" t="s">
        <v>466</v>
      </c>
      <c r="D219" s="335"/>
      <c r="E219" s="335"/>
      <c r="F219" s="335"/>
      <c r="G219" s="335"/>
      <c r="H219" s="335"/>
      <c r="I219" s="335"/>
      <c r="J219" s="194"/>
      <c r="K219" s="194" t="s">
        <v>122</v>
      </c>
      <c r="L219" s="336" t="s">
        <v>122</v>
      </c>
      <c r="M219" s="336"/>
      <c r="N219" s="336"/>
      <c r="O219" s="337">
        <v>0.02</v>
      </c>
      <c r="P219" s="338" t="s">
        <v>122</v>
      </c>
      <c r="Q219" s="338" t="s">
        <v>122</v>
      </c>
      <c r="R219" s="339">
        <v>1.75E-3</v>
      </c>
      <c r="S219" s="339">
        <v>2.5000000000000001E-4</v>
      </c>
      <c r="T219" s="336" t="s">
        <v>122</v>
      </c>
      <c r="U219" s="194"/>
      <c r="V219" s="194"/>
      <c r="W219" s="194"/>
      <c r="X219" s="194"/>
      <c r="Y219" s="194"/>
      <c r="Z219" s="194"/>
      <c r="AA219" s="194"/>
      <c r="AB219" s="194"/>
      <c r="AC219" s="194"/>
      <c r="AD219" s="194"/>
      <c r="AE219" s="194"/>
      <c r="AF219" s="194"/>
      <c r="AG219" s="194"/>
      <c r="AH219" s="194"/>
      <c r="AI219" s="156"/>
      <c r="AJ219" s="156"/>
      <c r="AK219" s="194" t="s">
        <v>122</v>
      </c>
      <c r="AL219" s="275"/>
      <c r="AM219" s="275"/>
    </row>
    <row r="220" spans="1:39">
      <c r="A220" s="334" t="s">
        <v>534</v>
      </c>
      <c r="B220" s="335" t="s">
        <v>535</v>
      </c>
      <c r="C220" s="335" t="s">
        <v>466</v>
      </c>
      <c r="D220" s="335" t="s">
        <v>43</v>
      </c>
      <c r="E220" s="335" t="s">
        <v>44</v>
      </c>
      <c r="F220" s="335" t="s">
        <v>55</v>
      </c>
      <c r="G220" s="335" t="s">
        <v>88</v>
      </c>
      <c r="H220" s="335" t="s">
        <v>62</v>
      </c>
      <c r="I220" s="335" t="s">
        <v>46</v>
      </c>
      <c r="J220" s="194">
        <v>1009886546</v>
      </c>
      <c r="K220" s="194" t="s">
        <v>122</v>
      </c>
      <c r="L220" s="336" t="s">
        <v>122</v>
      </c>
      <c r="M220" s="336">
        <v>9.0500000000000007</v>
      </c>
      <c r="N220" s="336">
        <v>10.73</v>
      </c>
      <c r="O220" s="337">
        <v>0.02</v>
      </c>
      <c r="P220" s="338" t="s">
        <v>122</v>
      </c>
      <c r="Q220" s="338" t="s">
        <v>122</v>
      </c>
      <c r="R220" s="339">
        <v>1.75E-3</v>
      </c>
      <c r="S220" s="339">
        <v>2.5000000000000001E-4</v>
      </c>
      <c r="T220" s="336" t="s">
        <v>122</v>
      </c>
      <c r="U220" s="194">
        <f t="shared" si="4"/>
        <v>10227383</v>
      </c>
      <c r="V220" s="194">
        <v>1105993</v>
      </c>
      <c r="W220" s="194">
        <v>0</v>
      </c>
      <c r="X220" s="194">
        <v>6267301</v>
      </c>
      <c r="Y220" s="194">
        <v>1766302</v>
      </c>
      <c r="Z220" s="194">
        <v>762000</v>
      </c>
      <c r="AA220" s="194">
        <v>252003</v>
      </c>
      <c r="AB220" s="194">
        <v>0</v>
      </c>
      <c r="AC220" s="194">
        <v>0</v>
      </c>
      <c r="AD220" s="194">
        <v>6608</v>
      </c>
      <c r="AE220" s="194">
        <v>0</v>
      </c>
      <c r="AF220" s="194">
        <v>37176</v>
      </c>
      <c r="AG220" s="194">
        <v>0</v>
      </c>
      <c r="AH220" s="194">
        <v>30000</v>
      </c>
      <c r="AI220" s="156">
        <v>4.7000000000000002E-3</v>
      </c>
      <c r="AJ220" s="156">
        <v>1.4800000000000001E-2</v>
      </c>
      <c r="AK220" s="194" t="s">
        <v>122</v>
      </c>
      <c r="AL220" s="275"/>
      <c r="AM220" s="275">
        <f t="shared" si="5"/>
        <v>2.9333017058224965E-3</v>
      </c>
    </row>
    <row r="221" spans="1:39">
      <c r="A221" s="340" t="s">
        <v>536</v>
      </c>
      <c r="B221" s="341"/>
      <c r="C221" s="341" t="s">
        <v>466</v>
      </c>
      <c r="D221" s="341"/>
      <c r="E221" s="341"/>
      <c r="F221" s="341"/>
      <c r="G221" s="341"/>
      <c r="H221" s="341"/>
      <c r="I221" s="341"/>
      <c r="J221" s="195"/>
      <c r="K221" s="195" t="s">
        <v>122</v>
      </c>
      <c r="L221" s="341" t="s">
        <v>122</v>
      </c>
      <c r="M221" s="341"/>
      <c r="N221" s="341"/>
      <c r="O221" s="342">
        <v>0.02</v>
      </c>
      <c r="P221" s="343" t="s">
        <v>122</v>
      </c>
      <c r="Q221" s="343" t="s">
        <v>122</v>
      </c>
      <c r="R221" s="344">
        <v>1.75E-3</v>
      </c>
      <c r="S221" s="344">
        <v>2.5000000000000001E-4</v>
      </c>
      <c r="T221" s="341" t="s">
        <v>122</v>
      </c>
      <c r="U221" s="195"/>
      <c r="V221" s="195"/>
      <c r="W221" s="195"/>
      <c r="X221" s="195"/>
      <c r="Y221" s="195"/>
      <c r="Z221" s="195"/>
      <c r="AA221" s="195"/>
      <c r="AB221" s="195"/>
      <c r="AC221" s="195"/>
      <c r="AD221" s="195"/>
      <c r="AE221" s="195"/>
      <c r="AF221" s="195"/>
      <c r="AG221" s="195"/>
      <c r="AH221" s="195"/>
      <c r="AI221" s="157"/>
      <c r="AJ221" s="157"/>
      <c r="AK221" s="195" t="s">
        <v>122</v>
      </c>
      <c r="AL221" s="275"/>
      <c r="AM221" s="275"/>
    </row>
    <row r="222" spans="1:39">
      <c r="A222" s="340" t="s">
        <v>537</v>
      </c>
      <c r="B222" s="341" t="s">
        <v>538</v>
      </c>
      <c r="C222" s="341" t="s">
        <v>466</v>
      </c>
      <c r="D222" s="341" t="s">
        <v>43</v>
      </c>
      <c r="E222" s="341" t="s">
        <v>44</v>
      </c>
      <c r="F222" s="341" t="s">
        <v>55</v>
      </c>
      <c r="G222" s="341" t="s">
        <v>88</v>
      </c>
      <c r="H222" s="341" t="s">
        <v>62</v>
      </c>
      <c r="I222" s="341" t="s">
        <v>46</v>
      </c>
      <c r="J222" s="195">
        <v>437439723</v>
      </c>
      <c r="K222" s="195" t="s">
        <v>122</v>
      </c>
      <c r="L222" s="341" t="s">
        <v>122</v>
      </c>
      <c r="M222" s="341">
        <v>10.15</v>
      </c>
      <c r="N222" s="341">
        <v>11.28</v>
      </c>
      <c r="O222" s="342">
        <v>0.02</v>
      </c>
      <c r="P222" s="343" t="s">
        <v>122</v>
      </c>
      <c r="Q222" s="343" t="s">
        <v>122</v>
      </c>
      <c r="R222" s="344">
        <v>1.75E-3</v>
      </c>
      <c r="S222" s="344">
        <v>2.5000000000000001E-4</v>
      </c>
      <c r="T222" s="341" t="s">
        <v>122</v>
      </c>
      <c r="U222" s="195">
        <f t="shared" si="4"/>
        <v>5558848</v>
      </c>
      <c r="V222" s="195">
        <v>580131</v>
      </c>
      <c r="W222" s="195">
        <v>0</v>
      </c>
      <c r="X222" s="195">
        <v>3287396</v>
      </c>
      <c r="Y222" s="195">
        <v>766237</v>
      </c>
      <c r="Z222" s="195">
        <v>762000</v>
      </c>
      <c r="AA222" s="195">
        <v>109243</v>
      </c>
      <c r="AB222" s="195">
        <v>0</v>
      </c>
      <c r="AC222" s="195">
        <v>0</v>
      </c>
      <c r="AD222" s="195">
        <v>2695</v>
      </c>
      <c r="AE222" s="195">
        <v>0</v>
      </c>
      <c r="AF222" s="195">
        <v>21146</v>
      </c>
      <c r="AG222" s="195">
        <v>0</v>
      </c>
      <c r="AH222" s="195">
        <v>30000</v>
      </c>
      <c r="AI222" s="157">
        <v>3.8E-3</v>
      </c>
      <c r="AJ222" s="157">
        <v>1.6400000000000001E-2</v>
      </c>
      <c r="AK222" s="195" t="s">
        <v>122</v>
      </c>
      <c r="AL222" s="275"/>
      <c r="AM222" s="275">
        <f t="shared" si="5"/>
        <v>5.3968016394763804E-3</v>
      </c>
    </row>
    <row r="223" spans="1:39">
      <c r="A223" s="226" t="s">
        <v>539</v>
      </c>
      <c r="B223" s="121" t="s">
        <v>540</v>
      </c>
      <c r="C223" s="121" t="s">
        <v>466</v>
      </c>
      <c r="D223" s="121" t="s">
        <v>43</v>
      </c>
      <c r="E223" s="121" t="s">
        <v>44</v>
      </c>
      <c r="F223" s="121" t="s">
        <v>55</v>
      </c>
      <c r="G223" s="128" t="s">
        <v>622</v>
      </c>
      <c r="H223" s="121" t="s">
        <v>45</v>
      </c>
      <c r="I223" s="121" t="s">
        <v>46</v>
      </c>
      <c r="J223" s="177">
        <v>222251252</v>
      </c>
      <c r="K223" s="177" t="s">
        <v>122</v>
      </c>
      <c r="L223" s="121" t="s">
        <v>122</v>
      </c>
      <c r="M223" s="121">
        <v>5.43</v>
      </c>
      <c r="N223" s="121">
        <v>5.66</v>
      </c>
      <c r="O223" s="229">
        <v>0.02</v>
      </c>
      <c r="P223" s="99" t="s">
        <v>122</v>
      </c>
      <c r="Q223" s="99" t="s">
        <v>122</v>
      </c>
      <c r="R223" s="230">
        <v>1.75E-3</v>
      </c>
      <c r="S223" s="230">
        <v>2.5000000000000001E-4</v>
      </c>
      <c r="T223" s="121" t="s">
        <v>122</v>
      </c>
      <c r="U223" s="177">
        <f t="shared" si="4"/>
        <v>920622</v>
      </c>
      <c r="V223" s="177">
        <v>0</v>
      </c>
      <c r="W223" s="177">
        <v>0</v>
      </c>
      <c r="X223" s="177">
        <v>0</v>
      </c>
      <c r="Y223" s="177">
        <v>389193</v>
      </c>
      <c r="Z223" s="177">
        <v>457200</v>
      </c>
      <c r="AA223" s="177">
        <v>55567</v>
      </c>
      <c r="AB223" s="177">
        <v>0</v>
      </c>
      <c r="AC223" s="177">
        <v>0</v>
      </c>
      <c r="AD223" s="177">
        <v>16162</v>
      </c>
      <c r="AE223" s="180">
        <v>0</v>
      </c>
      <c r="AF223" s="177">
        <v>2500</v>
      </c>
      <c r="AG223" s="177">
        <v>0</v>
      </c>
      <c r="AH223" s="177">
        <v>0</v>
      </c>
      <c r="AI223" s="137">
        <v>0</v>
      </c>
      <c r="AJ223" s="123">
        <v>1.8599999999999998E-2</v>
      </c>
      <c r="AK223" s="177" t="s">
        <v>122</v>
      </c>
      <c r="AL223" s="275"/>
      <c r="AM223" s="275">
        <f t="shared" si="5"/>
        <v>0</v>
      </c>
    </row>
    <row r="224" spans="1:39">
      <c r="A224" s="226" t="s">
        <v>541</v>
      </c>
      <c r="B224" s="121" t="s">
        <v>542</v>
      </c>
      <c r="C224" s="121" t="s">
        <v>466</v>
      </c>
      <c r="D224" s="121" t="s">
        <v>43</v>
      </c>
      <c r="E224" s="121" t="s">
        <v>44</v>
      </c>
      <c r="F224" s="121" t="s">
        <v>1348</v>
      </c>
      <c r="G224" s="128" t="s">
        <v>759</v>
      </c>
      <c r="H224" s="121" t="s">
        <v>45</v>
      </c>
      <c r="I224" s="121" t="s">
        <v>46</v>
      </c>
      <c r="J224" s="177">
        <v>9325115246</v>
      </c>
      <c r="K224" s="177" t="s">
        <v>122</v>
      </c>
      <c r="L224" s="121" t="s">
        <v>122</v>
      </c>
      <c r="M224" s="121">
        <v>10.42</v>
      </c>
      <c r="N224" s="121">
        <v>5.66</v>
      </c>
      <c r="O224" s="229">
        <v>0.02</v>
      </c>
      <c r="P224" s="99" t="s">
        <v>122</v>
      </c>
      <c r="Q224" s="99" t="s">
        <v>122</v>
      </c>
      <c r="R224" s="230">
        <v>1.4E-3</v>
      </c>
      <c r="S224" s="230">
        <v>2.5000000000000001E-4</v>
      </c>
      <c r="T224" s="121" t="s">
        <v>122</v>
      </c>
      <c r="U224" s="177">
        <f t="shared" si="4"/>
        <v>137830026</v>
      </c>
      <c r="V224" s="177">
        <v>18198485</v>
      </c>
      <c r="W224" s="177">
        <v>0</v>
      </c>
      <c r="X224" s="177">
        <v>103115422</v>
      </c>
      <c r="Y224" s="177">
        <v>13065583</v>
      </c>
      <c r="Z224" s="177">
        <v>600000</v>
      </c>
      <c r="AA224" s="177">
        <v>2329641</v>
      </c>
      <c r="AB224" s="177">
        <v>0</v>
      </c>
      <c r="AC224" s="177">
        <v>0</v>
      </c>
      <c r="AD224" s="177">
        <v>513195</v>
      </c>
      <c r="AE224" s="180">
        <v>0</v>
      </c>
      <c r="AF224" s="177">
        <v>7700</v>
      </c>
      <c r="AG224" s="177">
        <v>0</v>
      </c>
      <c r="AH224" s="177">
        <v>0</v>
      </c>
      <c r="AI224" s="137">
        <v>0</v>
      </c>
      <c r="AJ224" s="123">
        <v>1.47E-2</v>
      </c>
      <c r="AK224" s="177" t="s">
        <v>122</v>
      </c>
      <c r="AL224" s="275"/>
      <c r="AM224" s="275">
        <f t="shared" si="5"/>
        <v>0</v>
      </c>
    </row>
    <row r="225" spans="1:39">
      <c r="A225" s="226" t="s">
        <v>543</v>
      </c>
      <c r="B225" s="121" t="s">
        <v>544</v>
      </c>
      <c r="C225" s="121" t="s">
        <v>466</v>
      </c>
      <c r="D225" s="121" t="s">
        <v>43</v>
      </c>
      <c r="E225" s="268" t="s">
        <v>621</v>
      </c>
      <c r="F225" s="121" t="s">
        <v>1348</v>
      </c>
      <c r="G225" s="128" t="s">
        <v>759</v>
      </c>
      <c r="H225" s="121" t="s">
        <v>45</v>
      </c>
      <c r="I225" s="121" t="s">
        <v>46</v>
      </c>
      <c r="J225" s="177">
        <v>2667660591</v>
      </c>
      <c r="K225" s="177" t="s">
        <v>122</v>
      </c>
      <c r="L225" s="121" t="s">
        <v>122</v>
      </c>
      <c r="M225" s="121">
        <v>7.15</v>
      </c>
      <c r="N225" s="121">
        <v>9.1</v>
      </c>
      <c r="O225" s="229">
        <v>0.04</v>
      </c>
      <c r="P225" s="99" t="s">
        <v>122</v>
      </c>
      <c r="Q225" s="99" t="s">
        <v>122</v>
      </c>
      <c r="R225" s="230">
        <v>1.4E-3</v>
      </c>
      <c r="S225" s="230">
        <v>2.5000000000000001E-4</v>
      </c>
      <c r="T225" s="121" t="s">
        <v>122</v>
      </c>
      <c r="U225" s="177">
        <f t="shared" si="4"/>
        <v>44947053</v>
      </c>
      <c r="V225" s="177">
        <v>6001512</v>
      </c>
      <c r="W225" s="177">
        <v>0</v>
      </c>
      <c r="X225" s="177">
        <v>34008565</v>
      </c>
      <c r="Y225" s="177">
        <v>3734276</v>
      </c>
      <c r="Z225" s="177">
        <v>533400</v>
      </c>
      <c r="AA225" s="177">
        <v>666800</v>
      </c>
      <c r="AB225" s="177">
        <v>0</v>
      </c>
      <c r="AC225" s="177">
        <v>0</v>
      </c>
      <c r="AD225" s="177">
        <v>0</v>
      </c>
      <c r="AE225" s="180">
        <v>0</v>
      </c>
      <c r="AF225" s="177">
        <v>2500</v>
      </c>
      <c r="AG225" s="177">
        <v>0</v>
      </c>
      <c r="AI225" s="137">
        <v>0</v>
      </c>
      <c r="AJ225" s="123">
        <v>1.6799999999999999E-2</v>
      </c>
      <c r="AK225" s="177" t="s">
        <v>122</v>
      </c>
      <c r="AL225" s="275"/>
      <c r="AM225" s="275">
        <f t="shared" si="5"/>
        <v>0</v>
      </c>
    </row>
    <row r="226" spans="1:39">
      <c r="A226" s="345" t="s">
        <v>545</v>
      </c>
      <c r="B226" s="346"/>
      <c r="C226" s="346" t="s">
        <v>466</v>
      </c>
      <c r="D226" s="346"/>
      <c r="E226" s="346"/>
      <c r="F226" s="346"/>
      <c r="G226" s="346"/>
      <c r="H226" s="346"/>
      <c r="I226" s="346"/>
      <c r="J226" s="196"/>
      <c r="K226" s="196" t="s">
        <v>122</v>
      </c>
      <c r="L226" s="346" t="s">
        <v>122</v>
      </c>
      <c r="M226" s="346"/>
      <c r="N226" s="346"/>
      <c r="O226" s="347">
        <v>0.04</v>
      </c>
      <c r="P226" s="348" t="s">
        <v>122</v>
      </c>
      <c r="Q226" s="348" t="s">
        <v>122</v>
      </c>
      <c r="R226" s="349">
        <v>1.4E-3</v>
      </c>
      <c r="S226" s="349">
        <v>2.5000000000000001E-4</v>
      </c>
      <c r="T226" s="346" t="s">
        <v>122</v>
      </c>
      <c r="U226" s="196"/>
      <c r="V226" s="196"/>
      <c r="W226" s="196"/>
      <c r="X226" s="196"/>
      <c r="Y226" s="196"/>
      <c r="Z226" s="196"/>
      <c r="AA226" s="196"/>
      <c r="AB226" s="196"/>
      <c r="AC226" s="196"/>
      <c r="AD226" s="196"/>
      <c r="AE226" s="196"/>
      <c r="AF226" s="196"/>
      <c r="AG226" s="196"/>
      <c r="AH226" s="196"/>
      <c r="AI226" s="158"/>
      <c r="AJ226" s="159"/>
      <c r="AK226" s="196" t="s">
        <v>122</v>
      </c>
      <c r="AL226" s="275"/>
      <c r="AM226" s="275"/>
    </row>
    <row r="227" spans="1:39">
      <c r="A227" s="345" t="s">
        <v>546</v>
      </c>
      <c r="B227" s="346"/>
      <c r="C227" s="346" t="s">
        <v>466</v>
      </c>
      <c r="D227" s="346"/>
      <c r="E227" s="346"/>
      <c r="F227" s="346"/>
      <c r="G227" s="346"/>
      <c r="H227" s="346"/>
      <c r="I227" s="346"/>
      <c r="J227" s="196"/>
      <c r="K227" s="196" t="s">
        <v>122</v>
      </c>
      <c r="L227" s="346" t="s">
        <v>122</v>
      </c>
      <c r="M227" s="346"/>
      <c r="N227" s="346"/>
      <c r="O227" s="347">
        <v>0.04</v>
      </c>
      <c r="P227" s="348" t="s">
        <v>122</v>
      </c>
      <c r="Q227" s="348" t="s">
        <v>122</v>
      </c>
      <c r="R227" s="349">
        <v>1.4E-3</v>
      </c>
      <c r="S227" s="349">
        <v>2.5000000000000001E-4</v>
      </c>
      <c r="T227" s="346" t="s">
        <v>122</v>
      </c>
      <c r="U227" s="196"/>
      <c r="V227" s="196"/>
      <c r="W227" s="196"/>
      <c r="X227" s="196"/>
      <c r="Y227" s="196"/>
      <c r="Z227" s="196"/>
      <c r="AA227" s="196"/>
      <c r="AB227" s="196"/>
      <c r="AC227" s="196"/>
      <c r="AD227" s="196"/>
      <c r="AE227" s="196"/>
      <c r="AF227" s="196"/>
      <c r="AG227" s="196"/>
      <c r="AH227" s="196"/>
      <c r="AI227" s="158"/>
      <c r="AJ227" s="159"/>
      <c r="AK227" s="196" t="s">
        <v>122</v>
      </c>
      <c r="AL227" s="275"/>
      <c r="AM227" s="275"/>
    </row>
    <row r="228" spans="1:39">
      <c r="A228" s="345" t="s">
        <v>547</v>
      </c>
      <c r="B228" s="346" t="s">
        <v>548</v>
      </c>
      <c r="C228" s="346" t="s">
        <v>466</v>
      </c>
      <c r="D228" s="346" t="s">
        <v>43</v>
      </c>
      <c r="E228" s="350" t="s">
        <v>621</v>
      </c>
      <c r="F228" s="346" t="s">
        <v>1348</v>
      </c>
      <c r="G228" s="346" t="s">
        <v>759</v>
      </c>
      <c r="H228" s="346" t="s">
        <v>45</v>
      </c>
      <c r="I228" s="346" t="s">
        <v>46</v>
      </c>
      <c r="J228" s="196">
        <v>680679964</v>
      </c>
      <c r="K228" s="196" t="s">
        <v>122</v>
      </c>
      <c r="L228" s="346" t="s">
        <v>122</v>
      </c>
      <c r="M228" s="346">
        <v>7.05</v>
      </c>
      <c r="N228" s="346">
        <v>8.5</v>
      </c>
      <c r="O228" s="347">
        <v>0.04</v>
      </c>
      <c r="P228" s="348" t="s">
        <v>122</v>
      </c>
      <c r="Q228" s="348" t="s">
        <v>122</v>
      </c>
      <c r="R228" s="349">
        <v>1.4E-3</v>
      </c>
      <c r="S228" s="349">
        <v>2.5000000000000001E-4</v>
      </c>
      <c r="T228" s="346" t="s">
        <v>122</v>
      </c>
      <c r="U228" s="196">
        <f t="shared" si="4"/>
        <v>13291599</v>
      </c>
      <c r="V228" s="196">
        <v>1735195</v>
      </c>
      <c r="W228" s="196">
        <v>0</v>
      </c>
      <c r="X228" s="196">
        <v>9832762</v>
      </c>
      <c r="Y228" s="196">
        <v>952651</v>
      </c>
      <c r="Z228" s="196">
        <v>533400</v>
      </c>
      <c r="AA228" s="196">
        <v>170091</v>
      </c>
      <c r="AB228" s="196">
        <v>0</v>
      </c>
      <c r="AC228" s="196">
        <v>0</v>
      </c>
      <c r="AD228" s="196">
        <v>0</v>
      </c>
      <c r="AE228" s="196">
        <v>0</v>
      </c>
      <c r="AF228" s="196">
        <v>2500</v>
      </c>
      <c r="AG228" s="196">
        <v>0</v>
      </c>
      <c r="AH228" s="196">
        <v>65000</v>
      </c>
      <c r="AI228" s="158">
        <v>0</v>
      </c>
      <c r="AJ228" s="159">
        <v>1.95E-2</v>
      </c>
      <c r="AK228" s="196" t="s">
        <v>122</v>
      </c>
      <c r="AL228" s="275"/>
      <c r="AM228" s="275">
        <f t="shared" si="5"/>
        <v>4.8903070277699469E-3</v>
      </c>
    </row>
    <row r="229" spans="1:39">
      <c r="A229" s="226" t="s">
        <v>549</v>
      </c>
      <c r="B229" s="121" t="s">
        <v>550</v>
      </c>
      <c r="C229" s="121" t="s">
        <v>466</v>
      </c>
      <c r="D229" s="121" t="s">
        <v>43</v>
      </c>
      <c r="E229" s="121" t="s">
        <v>44</v>
      </c>
      <c r="F229" s="121" t="s">
        <v>55</v>
      </c>
      <c r="G229" s="128" t="s">
        <v>759</v>
      </c>
      <c r="H229" s="121" t="s">
        <v>62</v>
      </c>
      <c r="I229" s="121" t="s">
        <v>46</v>
      </c>
      <c r="J229" s="177">
        <v>1171556875</v>
      </c>
      <c r="K229" s="177" t="s">
        <v>122</v>
      </c>
      <c r="L229" s="121" t="s">
        <v>122</v>
      </c>
      <c r="M229" s="121">
        <v>4.8099999999999996</v>
      </c>
      <c r="N229" s="121">
        <v>-6.28</v>
      </c>
      <c r="O229" s="229">
        <v>0.02</v>
      </c>
      <c r="P229" s="99" t="s">
        <v>122</v>
      </c>
      <c r="Q229" s="99" t="s">
        <v>122</v>
      </c>
      <c r="R229" s="230">
        <v>1.75E-3</v>
      </c>
      <c r="S229" s="230">
        <v>2.5000000000000001E-4</v>
      </c>
      <c r="T229" s="121" t="s">
        <v>122</v>
      </c>
      <c r="U229" s="177">
        <f t="shared" si="4"/>
        <v>5805073</v>
      </c>
      <c r="V229" s="177">
        <v>416025</v>
      </c>
      <c r="W229" s="177">
        <v>0</v>
      </c>
      <c r="X229" s="177">
        <v>2357508</v>
      </c>
      <c r="Y229" s="177">
        <v>2045836</v>
      </c>
      <c r="Z229" s="177">
        <v>685800</v>
      </c>
      <c r="AA229" s="177">
        <v>291757</v>
      </c>
      <c r="AB229" s="177">
        <v>0</v>
      </c>
      <c r="AC229" s="177">
        <v>0</v>
      </c>
      <c r="AD229" s="177">
        <v>0</v>
      </c>
      <c r="AE229" s="180">
        <v>0</v>
      </c>
      <c r="AF229" s="177">
        <v>8147</v>
      </c>
      <c r="AG229" s="177">
        <v>0</v>
      </c>
      <c r="AH229" s="177">
        <v>0</v>
      </c>
      <c r="AI229" s="123">
        <v>2.5999999999999999E-3</v>
      </c>
      <c r="AJ229" s="123">
        <v>7.4999999999999997E-3</v>
      </c>
      <c r="AK229" s="177" t="s">
        <v>122</v>
      </c>
      <c r="AL229" s="275"/>
      <c r="AM229" s="275">
        <f t="shared" si="5"/>
        <v>0</v>
      </c>
    </row>
    <row r="230" spans="1:39" ht="89.25">
      <c r="A230" s="351" t="s">
        <v>1185</v>
      </c>
      <c r="B230" s="160" t="s">
        <v>1186</v>
      </c>
      <c r="C230" s="160" t="s">
        <v>1187</v>
      </c>
      <c r="D230" s="352" t="s">
        <v>43</v>
      </c>
      <c r="E230" s="352" t="s">
        <v>44</v>
      </c>
      <c r="F230" s="352" t="s">
        <v>132</v>
      </c>
      <c r="G230" s="352" t="s">
        <v>116</v>
      </c>
      <c r="H230" s="352" t="s">
        <v>45</v>
      </c>
      <c r="I230" s="160" t="s">
        <v>46</v>
      </c>
      <c r="J230" s="353">
        <v>14671105711.528225</v>
      </c>
      <c r="K230" s="197" t="s">
        <v>1067</v>
      </c>
      <c r="L230" s="160" t="s">
        <v>554</v>
      </c>
      <c r="M230" s="161">
        <v>-2.7199999999999998E-2</v>
      </c>
      <c r="N230" s="160" t="s">
        <v>554</v>
      </c>
      <c r="O230" s="354" t="s">
        <v>1196</v>
      </c>
      <c r="P230" s="355" t="s">
        <v>554</v>
      </c>
      <c r="Q230" s="355" t="s">
        <v>554</v>
      </c>
      <c r="R230" s="356">
        <v>8.4999999999999995E-4</v>
      </c>
      <c r="S230" s="354" t="s">
        <v>1188</v>
      </c>
      <c r="T230" s="160" t="s">
        <v>554</v>
      </c>
      <c r="U230" s="357">
        <f>SUM(V230:AH230)</f>
        <v>1653232097.1300001</v>
      </c>
      <c r="V230" s="353">
        <v>273218059</v>
      </c>
      <c r="W230" s="197" t="s">
        <v>554</v>
      </c>
      <c r="X230" s="353">
        <v>65505124</v>
      </c>
      <c r="Y230" s="353">
        <v>12503575</v>
      </c>
      <c r="Z230" s="353">
        <v>4840000</v>
      </c>
      <c r="AA230" s="353">
        <v>3579000</v>
      </c>
      <c r="AB230" s="357">
        <v>64965279.780000001</v>
      </c>
      <c r="AC230" s="357">
        <v>18387479.199999999</v>
      </c>
      <c r="AD230" s="197" t="s">
        <v>554</v>
      </c>
      <c r="AE230" s="197" t="s">
        <v>554</v>
      </c>
      <c r="AF230" s="357">
        <v>499920.47</v>
      </c>
      <c r="AG230" s="357">
        <v>1158329087.49</v>
      </c>
      <c r="AH230" s="180">
        <v>51404572.189999998</v>
      </c>
      <c r="AI230" s="160" t="s">
        <v>554</v>
      </c>
      <c r="AJ230" s="161">
        <v>3.3700000000000001E-2</v>
      </c>
      <c r="AK230" s="197" t="s">
        <v>554</v>
      </c>
      <c r="AL230" s="275"/>
      <c r="AM230" s="275"/>
    </row>
    <row r="231" spans="1:39">
      <c r="A231" s="103" t="s">
        <v>551</v>
      </c>
      <c r="B231" s="40" t="s">
        <v>552</v>
      </c>
      <c r="C231" s="40" t="s">
        <v>558</v>
      </c>
      <c r="D231" s="98" t="s">
        <v>553</v>
      </c>
      <c r="E231" s="40" t="s">
        <v>621</v>
      </c>
      <c r="F231" s="98" t="s">
        <v>132</v>
      </c>
      <c r="G231" s="98" t="s">
        <v>116</v>
      </c>
      <c r="H231" s="98" t="s">
        <v>45</v>
      </c>
      <c r="I231" s="40" t="s">
        <v>46</v>
      </c>
      <c r="J231" s="41">
        <v>8117257917</v>
      </c>
      <c r="K231" s="41" t="s">
        <v>554</v>
      </c>
      <c r="L231" s="40" t="s">
        <v>554</v>
      </c>
      <c r="M231" s="42">
        <v>8.6000000000000003E-5</v>
      </c>
      <c r="N231" s="40"/>
      <c r="O231" s="51" t="s">
        <v>555</v>
      </c>
      <c r="P231" s="215" t="s">
        <v>556</v>
      </c>
      <c r="Q231" s="51" t="s">
        <v>108</v>
      </c>
      <c r="R231" s="42">
        <v>4.0000000000000002E-4</v>
      </c>
      <c r="S231" s="42">
        <v>2.5000000000000001E-4</v>
      </c>
      <c r="T231" s="40" t="s">
        <v>554</v>
      </c>
      <c r="U231" s="41">
        <v>489923555</v>
      </c>
      <c r="V231" s="41">
        <v>20263442</v>
      </c>
      <c r="W231" s="41">
        <v>0</v>
      </c>
      <c r="X231" s="41">
        <v>0</v>
      </c>
      <c r="Y231" s="41">
        <v>3242191</v>
      </c>
      <c r="Z231" s="41">
        <v>7290000</v>
      </c>
      <c r="AA231" s="41">
        <v>2027000</v>
      </c>
      <c r="AB231" s="41">
        <v>1727743</v>
      </c>
      <c r="AC231" s="41">
        <v>14870850</v>
      </c>
      <c r="AD231" s="41">
        <v>0</v>
      </c>
      <c r="AE231" s="41">
        <v>0</v>
      </c>
      <c r="AF231" s="41">
        <v>749737</v>
      </c>
      <c r="AG231" s="41">
        <f>144162057+199586536</f>
        <v>343748593</v>
      </c>
      <c r="AH231" s="41">
        <v>96003999</v>
      </c>
      <c r="AI231" s="40">
        <v>0</v>
      </c>
      <c r="AJ231" s="40">
        <v>0</v>
      </c>
      <c r="AK231" s="41">
        <v>0</v>
      </c>
    </row>
    <row r="232" spans="1:39" ht="25.5">
      <c r="A232" s="104" t="s">
        <v>557</v>
      </c>
      <c r="B232" s="43" t="s">
        <v>312</v>
      </c>
      <c r="C232" s="43" t="s">
        <v>559</v>
      </c>
      <c r="D232" s="43" t="s">
        <v>553</v>
      </c>
      <c r="E232" s="43" t="s">
        <v>44</v>
      </c>
      <c r="F232" s="43" t="s">
        <v>132</v>
      </c>
      <c r="G232" s="43" t="s">
        <v>116</v>
      </c>
      <c r="H232" s="43" t="s">
        <v>45</v>
      </c>
      <c r="I232" s="43" t="s">
        <v>46</v>
      </c>
      <c r="J232" s="44">
        <v>3318054074</v>
      </c>
      <c r="K232" s="44">
        <v>0</v>
      </c>
      <c r="L232" s="43">
        <v>0</v>
      </c>
      <c r="M232" s="43">
        <v>0</v>
      </c>
      <c r="N232" s="43">
        <v>0</v>
      </c>
      <c r="O232" s="45">
        <v>0.02</v>
      </c>
      <c r="P232" s="46">
        <v>0</v>
      </c>
      <c r="Q232" s="46">
        <v>0</v>
      </c>
      <c r="R232" s="47">
        <v>1E-3</v>
      </c>
      <c r="S232" s="47">
        <v>3.0999999999999999E-3</v>
      </c>
      <c r="T232" s="46">
        <v>0</v>
      </c>
      <c r="U232" s="48">
        <v>189227646.49000001</v>
      </c>
      <c r="V232" s="48">
        <v>66328466</v>
      </c>
      <c r="W232" s="49">
        <v>0</v>
      </c>
      <c r="X232" s="48">
        <v>3652991</v>
      </c>
      <c r="Y232" s="48">
        <v>3944518</v>
      </c>
      <c r="Z232" s="48">
        <v>3680000</v>
      </c>
      <c r="AA232" s="48">
        <v>227000</v>
      </c>
      <c r="AB232" s="48">
        <v>7179258</v>
      </c>
      <c r="AC232" s="48">
        <v>11127792</v>
      </c>
      <c r="AD232" s="49">
        <v>0</v>
      </c>
      <c r="AE232" s="49">
        <v>0</v>
      </c>
      <c r="AF232" s="48">
        <v>5660218.8700000001</v>
      </c>
      <c r="AG232" s="48">
        <v>26786659.620000001</v>
      </c>
      <c r="AH232" s="48">
        <v>60640743</v>
      </c>
      <c r="AI232" s="46">
        <v>0</v>
      </c>
      <c r="AJ232" s="47">
        <v>2.7300000000000001E-2</v>
      </c>
      <c r="AK232" s="44">
        <v>0</v>
      </c>
    </row>
    <row r="233" spans="1:39">
      <c r="A233" s="358" t="s">
        <v>579</v>
      </c>
      <c r="B233" s="359" t="s">
        <v>580</v>
      </c>
      <c r="C233" s="359" t="s">
        <v>562</v>
      </c>
      <c r="D233" s="121" t="s">
        <v>43</v>
      </c>
      <c r="E233" s="121" t="s">
        <v>44</v>
      </c>
      <c r="G233" s="240" t="s">
        <v>884</v>
      </c>
      <c r="H233" s="121" t="s">
        <v>62</v>
      </c>
      <c r="I233" s="121" t="s">
        <v>46</v>
      </c>
      <c r="J233" s="231">
        <v>1311445474</v>
      </c>
      <c r="K233" s="360"/>
      <c r="M233" s="361">
        <v>-0.10145052</v>
      </c>
      <c r="N233" s="361">
        <v>5.7069639999999998E-2</v>
      </c>
      <c r="O233" s="229">
        <v>1.7500000000000002E-2</v>
      </c>
      <c r="P233" s="229">
        <v>0.2</v>
      </c>
      <c r="Q233" s="229" t="s">
        <v>108</v>
      </c>
      <c r="R233" s="123">
        <v>7.5000000000000002E-4</v>
      </c>
      <c r="S233" s="123">
        <v>9.025E-3</v>
      </c>
      <c r="T233" s="123">
        <v>0.20977500000000002</v>
      </c>
      <c r="U233" s="231">
        <v>28229000</v>
      </c>
      <c r="V233" s="231">
        <v>21676000</v>
      </c>
      <c r="W233" s="231">
        <v>0</v>
      </c>
      <c r="X233" s="231">
        <v>619000</v>
      </c>
      <c r="Y233" s="231">
        <v>647000</v>
      </c>
      <c r="Z233" s="231">
        <v>1932000</v>
      </c>
      <c r="AA233" s="231">
        <v>310000</v>
      </c>
      <c r="AB233" s="231">
        <v>0</v>
      </c>
      <c r="AC233" s="231">
        <v>0</v>
      </c>
      <c r="AD233" s="247">
        <v>34077491.110799961</v>
      </c>
      <c r="AE233" s="231"/>
      <c r="AF233" s="231">
        <v>3044000</v>
      </c>
      <c r="AG233" s="231">
        <v>0</v>
      </c>
      <c r="AH233" s="231">
        <v>1000</v>
      </c>
      <c r="AI233" s="162"/>
      <c r="AJ233" s="123">
        <v>8.2000000000000003E-2</v>
      </c>
    </row>
    <row r="234" spans="1:39">
      <c r="A234" s="358" t="s">
        <v>560</v>
      </c>
      <c r="B234" s="359" t="s">
        <v>561</v>
      </c>
      <c r="C234" s="359" t="s">
        <v>562</v>
      </c>
      <c r="D234" s="121" t="s">
        <v>43</v>
      </c>
      <c r="E234" s="121" t="s">
        <v>44</v>
      </c>
      <c r="G234" s="121" t="s">
        <v>58</v>
      </c>
      <c r="H234" s="121" t="s">
        <v>62</v>
      </c>
      <c r="I234" s="121" t="s">
        <v>46</v>
      </c>
      <c r="J234" s="231">
        <v>2109140391</v>
      </c>
      <c r="M234" s="361">
        <v>-0.14293687999999999</v>
      </c>
      <c r="N234" s="361">
        <v>-0.12798403</v>
      </c>
      <c r="O234" s="229">
        <v>1.7500000000000002E-2</v>
      </c>
      <c r="R234" s="123">
        <v>7.5000000000000002E-4</v>
      </c>
      <c r="S234" s="123">
        <v>9.025E-3</v>
      </c>
      <c r="T234" s="123">
        <v>9.7750000000000007E-3</v>
      </c>
      <c r="U234" s="231">
        <v>39957000</v>
      </c>
      <c r="V234" s="231">
        <v>34497000</v>
      </c>
      <c r="W234" s="231">
        <v>0</v>
      </c>
      <c r="X234" s="231">
        <v>986000</v>
      </c>
      <c r="Y234" s="231">
        <v>1219000</v>
      </c>
      <c r="Z234" s="231">
        <v>1932000</v>
      </c>
      <c r="AA234" s="231">
        <v>493000</v>
      </c>
      <c r="AB234" s="231">
        <v>0</v>
      </c>
      <c r="AC234" s="231">
        <v>0</v>
      </c>
      <c r="AD234" s="231">
        <v>2574469.98795</v>
      </c>
      <c r="AE234" s="231"/>
      <c r="AF234" s="231">
        <v>829000</v>
      </c>
      <c r="AG234" s="231">
        <v>0</v>
      </c>
      <c r="AH234" s="231">
        <v>1000</v>
      </c>
      <c r="AI234" s="122">
        <v>2.1837539449868749E-3</v>
      </c>
      <c r="AJ234" s="123">
        <v>3.4599999999999999E-2</v>
      </c>
    </row>
    <row r="235" spans="1:39">
      <c r="A235" s="358" t="s">
        <v>563</v>
      </c>
      <c r="B235" s="359" t="s">
        <v>564</v>
      </c>
      <c r="C235" s="359" t="s">
        <v>562</v>
      </c>
      <c r="D235" s="121" t="s">
        <v>43</v>
      </c>
      <c r="E235" s="121" t="s">
        <v>44</v>
      </c>
      <c r="G235" s="121" t="s">
        <v>58</v>
      </c>
      <c r="H235" s="121" t="s">
        <v>62</v>
      </c>
      <c r="I235" s="121" t="s">
        <v>46</v>
      </c>
      <c r="J235" s="231">
        <v>4525316193</v>
      </c>
      <c r="M235" s="361">
        <v>0.19835543999999999</v>
      </c>
      <c r="N235" s="361">
        <v>0.18501613</v>
      </c>
      <c r="O235" s="229">
        <v>1.7500000000000002E-2</v>
      </c>
      <c r="R235" s="123">
        <v>7.4999999999999997E-3</v>
      </c>
      <c r="S235" s="123">
        <v>9.025E-3</v>
      </c>
      <c r="T235" s="123">
        <v>1.6524999999999998E-2</v>
      </c>
      <c r="U235" s="231">
        <v>99846475.626758948</v>
      </c>
      <c r="V235" s="231">
        <v>89040374.698631927</v>
      </c>
      <c r="W235" s="231">
        <v>0</v>
      </c>
      <c r="X235" s="231">
        <v>2544143.5452504512</v>
      </c>
      <c r="Y235" s="231">
        <v>3242481.1923568435</v>
      </c>
      <c r="Z235" s="231">
        <v>2075485.5237569471</v>
      </c>
      <c r="AA235" s="231">
        <v>1272071.7726252256</v>
      </c>
      <c r="AB235" s="231">
        <v>0</v>
      </c>
      <c r="AC235" s="231">
        <v>0</v>
      </c>
      <c r="AD235" s="231">
        <v>23317799.126326814</v>
      </c>
      <c r="AE235" s="231">
        <v>0</v>
      </c>
      <c r="AF235" s="231">
        <v>1665409.7549501311</v>
      </c>
      <c r="AG235" s="231">
        <v>0</v>
      </c>
      <c r="AH235" s="231">
        <v>6509.1391874097808</v>
      </c>
      <c r="AI235" s="122">
        <v>3.7118103450702786E-3</v>
      </c>
      <c r="AJ235" s="123">
        <v>3.5499999999999997E-2</v>
      </c>
    </row>
    <row r="236" spans="1:39">
      <c r="A236" s="358" t="s">
        <v>565</v>
      </c>
      <c r="B236" s="359" t="s">
        <v>566</v>
      </c>
      <c r="C236" s="359" t="s">
        <v>562</v>
      </c>
      <c r="D236" s="121" t="s">
        <v>43</v>
      </c>
      <c r="E236" s="121" t="s">
        <v>44</v>
      </c>
      <c r="G236" s="121" t="s">
        <v>58</v>
      </c>
      <c r="H236" s="121" t="s">
        <v>62</v>
      </c>
      <c r="I236" s="121" t="s">
        <v>69</v>
      </c>
      <c r="J236" s="231">
        <v>1100860</v>
      </c>
      <c r="M236" s="361">
        <v>0.17616203999999999</v>
      </c>
      <c r="N236" s="361">
        <v>0.16313966999999999</v>
      </c>
      <c r="O236" s="229">
        <v>1.7500000000000002E-2</v>
      </c>
      <c r="R236" s="123">
        <v>7.4999999999999997E-3</v>
      </c>
      <c r="S236" s="123">
        <v>9.025E-3</v>
      </c>
      <c r="T236" s="123">
        <v>1.6524999999999998E-2</v>
      </c>
      <c r="U236" s="231">
        <v>23575.911173036246</v>
      </c>
      <c r="V236" s="231">
        <v>21024.357159645409</v>
      </c>
      <c r="W236" s="231">
        <v>0</v>
      </c>
      <c r="X236" s="231">
        <v>600.72728514218409</v>
      </c>
      <c r="Y236" s="231">
        <v>765.61989886359504</v>
      </c>
      <c r="Z236" s="231">
        <v>490.06699577388702</v>
      </c>
      <c r="AA236" s="231">
        <v>300.36364257109204</v>
      </c>
      <c r="AB236" s="231">
        <v>0</v>
      </c>
      <c r="AC236" s="231">
        <v>0</v>
      </c>
      <c r="AD236" s="231">
        <v>924</v>
      </c>
      <c r="AE236" s="231">
        <v>0</v>
      </c>
      <c r="AF236" s="231">
        <v>393.23924257662713</v>
      </c>
      <c r="AG236" s="231">
        <v>0</v>
      </c>
      <c r="AH236" s="231">
        <v>456.4401929706865</v>
      </c>
      <c r="AI236" s="122">
        <v>3.7118103450702786E-3</v>
      </c>
      <c r="AJ236" s="123">
        <v>2.64E-2</v>
      </c>
    </row>
    <row r="237" spans="1:39">
      <c r="A237" s="358" t="s">
        <v>581</v>
      </c>
      <c r="B237" s="359" t="s">
        <v>582</v>
      </c>
      <c r="C237" s="359" t="s">
        <v>562</v>
      </c>
      <c r="D237" s="121" t="s">
        <v>43</v>
      </c>
      <c r="E237" s="121" t="s">
        <v>44</v>
      </c>
      <c r="G237" s="246" t="s">
        <v>365</v>
      </c>
      <c r="H237" s="121" t="s">
        <v>45</v>
      </c>
      <c r="I237" s="121" t="s">
        <v>46</v>
      </c>
      <c r="J237" s="231">
        <v>7871255846</v>
      </c>
      <c r="K237" s="231"/>
      <c r="M237" s="361">
        <v>4.443101E-2</v>
      </c>
      <c r="N237" s="361">
        <v>5.7069809999999999E-2</v>
      </c>
      <c r="O237" s="229">
        <v>1.2E-2</v>
      </c>
      <c r="R237" s="123">
        <v>4.0000000000000002E-4</v>
      </c>
      <c r="S237" s="123">
        <v>9.025E-3</v>
      </c>
      <c r="T237" s="123">
        <v>9.4249999999999994E-3</v>
      </c>
      <c r="U237" s="231">
        <v>95996842.500067785</v>
      </c>
      <c r="V237" s="231">
        <v>85562950.648407236</v>
      </c>
      <c r="W237" s="231">
        <v>0</v>
      </c>
      <c r="X237" s="231">
        <v>4040543.6013460411</v>
      </c>
      <c r="Y237" s="231">
        <v>3233934.676869004</v>
      </c>
      <c r="Z237" s="231">
        <v>954713.7589539364</v>
      </c>
      <c r="AA237" s="231">
        <v>2020037.457580494</v>
      </c>
      <c r="AB237" s="231">
        <v>0</v>
      </c>
      <c r="AC237" s="231">
        <v>0</v>
      </c>
      <c r="AD237" s="231">
        <v>0</v>
      </c>
      <c r="AE237" s="231">
        <v>0</v>
      </c>
      <c r="AF237" s="231">
        <v>183256.29835591023</v>
      </c>
      <c r="AG237" s="231">
        <v>0</v>
      </c>
      <c r="AH237" s="231">
        <v>1406.0585551604365</v>
      </c>
      <c r="AI237" s="162">
        <v>0</v>
      </c>
      <c r="AJ237" s="123">
        <v>1.14E-2</v>
      </c>
    </row>
    <row r="238" spans="1:39">
      <c r="A238" s="358" t="s">
        <v>583</v>
      </c>
      <c r="B238" s="359" t="s">
        <v>584</v>
      </c>
      <c r="C238" s="359" t="s">
        <v>562</v>
      </c>
      <c r="D238" s="121" t="s">
        <v>43</v>
      </c>
      <c r="E238" s="121" t="s">
        <v>44</v>
      </c>
      <c r="G238" s="246" t="s">
        <v>365</v>
      </c>
      <c r="H238" s="121" t="s">
        <v>45</v>
      </c>
      <c r="I238" s="121" t="s">
        <v>46</v>
      </c>
      <c r="J238" s="231">
        <v>8766210456</v>
      </c>
      <c r="K238" s="231"/>
      <c r="M238" s="361">
        <v>5.2353080000000003E-2</v>
      </c>
      <c r="N238" s="361">
        <v>5.7069809999999999E-2</v>
      </c>
      <c r="O238" s="229">
        <v>7.4999999999999997E-3</v>
      </c>
      <c r="R238" s="123">
        <v>4.0000000000000002E-4</v>
      </c>
      <c r="S238" s="123">
        <v>9.025E-3</v>
      </c>
      <c r="T238" s="123">
        <v>9.4249999999999994E-3</v>
      </c>
      <c r="U238" s="231">
        <v>36077157.4999322</v>
      </c>
      <c r="V238" s="231">
        <v>24249049.351592749</v>
      </c>
      <c r="W238" s="231">
        <v>0</v>
      </c>
      <c r="X238" s="231">
        <v>4580456.398653958</v>
      </c>
      <c r="Y238" s="231">
        <v>3666065.3231309955</v>
      </c>
      <c r="Z238" s="231">
        <v>1082286.2410460634</v>
      </c>
      <c r="AA238" s="231">
        <v>2289962.5424195058</v>
      </c>
      <c r="AB238" s="231">
        <v>0</v>
      </c>
      <c r="AC238" s="231">
        <v>0</v>
      </c>
      <c r="AD238" s="231">
        <v>0</v>
      </c>
      <c r="AE238" s="231">
        <v>0</v>
      </c>
      <c r="AF238" s="231">
        <v>207743.70164408974</v>
      </c>
      <c r="AG238" s="231">
        <v>0</v>
      </c>
      <c r="AH238" s="231">
        <v>1593.9414448395632</v>
      </c>
      <c r="AI238" s="162">
        <v>0</v>
      </c>
      <c r="AJ238" s="123">
        <v>3.8999999999999998E-3</v>
      </c>
    </row>
    <row r="239" spans="1:39">
      <c r="A239" s="358" t="s">
        <v>567</v>
      </c>
      <c r="B239" s="359" t="s">
        <v>568</v>
      </c>
      <c r="C239" s="359" t="s">
        <v>562</v>
      </c>
      <c r="D239" s="121" t="s">
        <v>43</v>
      </c>
      <c r="E239" s="121" t="s">
        <v>44</v>
      </c>
      <c r="G239" s="121" t="s">
        <v>58</v>
      </c>
      <c r="H239" s="121" t="s">
        <v>62</v>
      </c>
      <c r="I239" s="121" t="s">
        <v>46</v>
      </c>
      <c r="J239" s="231">
        <v>1924377457</v>
      </c>
      <c r="M239" s="361">
        <v>-7.1296460000000006E-2</v>
      </c>
      <c r="N239" s="361">
        <v>4.8736200000000004E-3</v>
      </c>
      <c r="O239" s="229">
        <v>1.7500000000000002E-2</v>
      </c>
      <c r="R239" s="123">
        <v>8.0000000000000002E-3</v>
      </c>
      <c r="S239" s="123">
        <v>9.025E-3</v>
      </c>
      <c r="T239" s="123">
        <v>1.7024999999999998E-2</v>
      </c>
      <c r="U239" s="231">
        <v>38624290.645038858</v>
      </c>
      <c r="V239" s="231">
        <v>34634420.80503428</v>
      </c>
      <c r="W239" s="231">
        <v>0</v>
      </c>
      <c r="X239" s="231">
        <v>989354.40306114929</v>
      </c>
      <c r="Y239" s="231">
        <v>1247218.0506675127</v>
      </c>
      <c r="Z239" s="231">
        <v>978829.3562200733</v>
      </c>
      <c r="AA239" s="231">
        <v>495115.74514895282</v>
      </c>
      <c r="AB239" s="231">
        <v>0</v>
      </c>
      <c r="AC239" s="231">
        <v>0</v>
      </c>
      <c r="AD239" s="231">
        <v>3403682.7445230992</v>
      </c>
      <c r="AE239" s="231">
        <v>0</v>
      </c>
      <c r="AF239" s="231">
        <v>276282.47957824648</v>
      </c>
      <c r="AG239" s="231">
        <v>0</v>
      </c>
      <c r="AH239" s="231">
        <v>3069.8053286471832</v>
      </c>
      <c r="AI239" s="122">
        <v>2.8999999999999998E-3</v>
      </c>
      <c r="AJ239" s="123">
        <v>3.7900000000000003E-2</v>
      </c>
    </row>
    <row r="240" spans="1:39">
      <c r="A240" s="358" t="s">
        <v>569</v>
      </c>
      <c r="B240" s="359" t="s">
        <v>570</v>
      </c>
      <c r="C240" s="359" t="s">
        <v>562</v>
      </c>
      <c r="D240" s="121" t="s">
        <v>43</v>
      </c>
      <c r="E240" s="121" t="s">
        <v>44</v>
      </c>
      <c r="G240" s="121" t="s">
        <v>58</v>
      </c>
      <c r="H240" s="121" t="s">
        <v>62</v>
      </c>
      <c r="I240" s="121" t="s">
        <v>239</v>
      </c>
      <c r="J240" s="231">
        <v>12413877</v>
      </c>
      <c r="M240" s="361">
        <v>-4.8836810000000001E-2</v>
      </c>
      <c r="N240" s="361">
        <v>2.9923660000000001E-2</v>
      </c>
      <c r="O240" s="229">
        <v>1.7500000000000002E-2</v>
      </c>
      <c r="R240" s="123">
        <v>8.0000000000000002E-3</v>
      </c>
      <c r="S240" s="123">
        <v>9.025E-3</v>
      </c>
      <c r="T240" s="123">
        <v>1.7024999999999998E-2</v>
      </c>
      <c r="U240" s="231">
        <v>221029.67824987677</v>
      </c>
      <c r="V240" s="231">
        <v>198197.42341056687</v>
      </c>
      <c r="W240" s="231">
        <v>0</v>
      </c>
      <c r="X240" s="231">
        <v>5661.6362846211359</v>
      </c>
      <c r="Y240" s="231">
        <v>7137.2755290170717</v>
      </c>
      <c r="Z240" s="231">
        <v>5601.4061113804864</v>
      </c>
      <c r="AA240" s="231">
        <v>2833.3277328622621</v>
      </c>
      <c r="AB240" s="231">
        <v>0</v>
      </c>
      <c r="AC240" s="231">
        <v>0</v>
      </c>
      <c r="AD240" s="231">
        <v>19477.766175706587</v>
      </c>
      <c r="AE240" s="231">
        <v>0</v>
      </c>
      <c r="AF240" s="231">
        <v>1581.0420475670728</v>
      </c>
      <c r="AG240" s="231">
        <v>0</v>
      </c>
      <c r="AH240" s="231">
        <v>17.567133861856366</v>
      </c>
      <c r="AI240" s="122">
        <v>2.8999999999999998E-3</v>
      </c>
      <c r="AJ240" s="123">
        <v>2.5499999999999998E-2</v>
      </c>
    </row>
    <row r="241" spans="1:41">
      <c r="A241" s="358" t="s">
        <v>571</v>
      </c>
      <c r="B241" s="359" t="s">
        <v>572</v>
      </c>
      <c r="C241" s="359" t="s">
        <v>562</v>
      </c>
      <c r="D241" s="121" t="s">
        <v>43</v>
      </c>
      <c r="E241" s="121" t="s">
        <v>44</v>
      </c>
      <c r="G241" s="121" t="s">
        <v>58</v>
      </c>
      <c r="H241" s="121" t="s">
        <v>62</v>
      </c>
      <c r="I241" s="121" t="s">
        <v>46</v>
      </c>
      <c r="J241" s="231">
        <v>1298939819</v>
      </c>
      <c r="M241" s="361">
        <v>-4.6398259999999997E-2</v>
      </c>
      <c r="N241" s="361">
        <v>2.4030010000000001E-2</v>
      </c>
      <c r="O241" s="229">
        <v>1.7500000000000002E-2</v>
      </c>
      <c r="R241" s="123">
        <v>7.5000000000000002E-4</v>
      </c>
      <c r="S241" s="123">
        <v>9.025E-3</v>
      </c>
      <c r="T241" s="123">
        <v>9.7750000000000007E-3</v>
      </c>
      <c r="U241" s="231">
        <v>26772000</v>
      </c>
      <c r="V241" s="231">
        <v>22277000</v>
      </c>
      <c r="W241" s="231">
        <v>0</v>
      </c>
      <c r="X241" s="231">
        <v>637000</v>
      </c>
      <c r="Y241" s="231">
        <v>1212000</v>
      </c>
      <c r="Z241" s="231">
        <v>1932000</v>
      </c>
      <c r="AA241" s="231">
        <v>318000</v>
      </c>
      <c r="AB241" s="231">
        <v>0</v>
      </c>
      <c r="AC241" s="231">
        <v>0</v>
      </c>
      <c r="AD241" s="231">
        <v>1399380.4000426366</v>
      </c>
      <c r="AE241" s="231">
        <v>0</v>
      </c>
      <c r="AF241" s="231">
        <v>395000</v>
      </c>
      <c r="AG241" s="231">
        <v>0</v>
      </c>
      <c r="AH241" s="231">
        <v>1000</v>
      </c>
      <c r="AI241" s="122">
        <v>1.4E-3</v>
      </c>
      <c r="AJ241" s="123">
        <v>3.9E-2</v>
      </c>
    </row>
    <row r="242" spans="1:41">
      <c r="A242" s="358" t="s">
        <v>585</v>
      </c>
      <c r="B242" s="359" t="s">
        <v>586</v>
      </c>
      <c r="C242" s="359" t="s">
        <v>562</v>
      </c>
      <c r="D242" s="121" t="s">
        <v>43</v>
      </c>
      <c r="E242" s="121" t="s">
        <v>44</v>
      </c>
      <c r="G242" s="121" t="s">
        <v>58</v>
      </c>
      <c r="H242" s="121" t="s">
        <v>62</v>
      </c>
      <c r="I242" s="121" t="s">
        <v>46</v>
      </c>
      <c r="J242" s="231">
        <v>4847687212</v>
      </c>
      <c r="M242" s="361">
        <v>-1.248579E-2</v>
      </c>
      <c r="N242" s="361">
        <v>-5.6503520000000002E-2</v>
      </c>
      <c r="O242" s="229">
        <v>1.7500000000000002E-2</v>
      </c>
      <c r="R242" s="123">
        <v>8.0000000000000002E-3</v>
      </c>
      <c r="S242" s="123">
        <v>9.025E-3</v>
      </c>
      <c r="T242" s="123">
        <v>1.7024999999999998E-2</v>
      </c>
      <c r="U242" s="231">
        <v>95866221.797041923</v>
      </c>
      <c r="V242" s="231">
        <v>84930062.487821385</v>
      </c>
      <c r="W242" s="231">
        <v>0</v>
      </c>
      <c r="X242" s="231">
        <v>2426814.668013006</v>
      </c>
      <c r="Y242" s="231">
        <v>3326834.7335152179</v>
      </c>
      <c r="Z242" s="231">
        <v>1571866.0298911866</v>
      </c>
      <c r="AA242" s="231">
        <v>1213407.334006503</v>
      </c>
      <c r="AB242" s="231">
        <v>0</v>
      </c>
      <c r="AC242" s="231">
        <v>0</v>
      </c>
      <c r="AD242" s="231">
        <v>27145594.134813379</v>
      </c>
      <c r="AE242" s="231">
        <v>0</v>
      </c>
      <c r="AF242" s="231">
        <v>2256388.3332308969</v>
      </c>
      <c r="AG242" s="231">
        <v>0</v>
      </c>
      <c r="AH242" s="231">
        <v>140848.2105637264</v>
      </c>
      <c r="AI242" s="122" t="s">
        <v>122</v>
      </c>
      <c r="AJ242" s="121">
        <v>3.8600000000000002E-2</v>
      </c>
    </row>
    <row r="243" spans="1:41">
      <c r="A243" s="358" t="s">
        <v>587</v>
      </c>
      <c r="B243" s="359" t="s">
        <v>588</v>
      </c>
      <c r="C243" s="359" t="s">
        <v>562</v>
      </c>
      <c r="D243" s="121" t="s">
        <v>43</v>
      </c>
      <c r="E243" s="121" t="s">
        <v>44</v>
      </c>
      <c r="G243" s="121" t="s">
        <v>58</v>
      </c>
      <c r="H243" s="121" t="s">
        <v>62</v>
      </c>
      <c r="I243" s="121" t="s">
        <v>69</v>
      </c>
      <c r="J243" s="231">
        <v>11164870</v>
      </c>
      <c r="M243" s="361">
        <v>-3.0332089999999999E-2</v>
      </c>
      <c r="N243" s="361">
        <v>-7.3681960000000005E-2</v>
      </c>
      <c r="O243" s="229">
        <v>1.7500000000000002E-2</v>
      </c>
      <c r="R243" s="123">
        <v>8.0000000000000002E-3</v>
      </c>
      <c r="S243" s="123">
        <v>9.025E-3</v>
      </c>
      <c r="T243" s="123">
        <v>1.7024999999999998E-2</v>
      </c>
      <c r="U243" s="231">
        <v>135568.12513277965</v>
      </c>
      <c r="V243" s="231">
        <v>120102.88006613648</v>
      </c>
      <c r="W243" s="231">
        <v>0</v>
      </c>
      <c r="X243" s="231">
        <v>3431.8523085615543</v>
      </c>
      <c r="Y243" s="231">
        <v>4704.6054282196119</v>
      </c>
      <c r="Z243" s="231">
        <v>2222.8364343323819</v>
      </c>
      <c r="AA243" s="231">
        <v>1715.9261542807772</v>
      </c>
      <c r="AB243" s="231">
        <v>0</v>
      </c>
      <c r="AC243" s="231">
        <v>0</v>
      </c>
      <c r="AD243" s="231">
        <v>38387.63261436452</v>
      </c>
      <c r="AE243" s="231">
        <v>0</v>
      </c>
      <c r="AF243" s="231">
        <v>3190.8458492835812</v>
      </c>
      <c r="AG243" s="231">
        <v>0</v>
      </c>
      <c r="AH243" s="231">
        <v>199.17889196526724</v>
      </c>
      <c r="AI243" s="162">
        <v>0</v>
      </c>
      <c r="AJ243" s="123">
        <v>1.9800000000000002E-2</v>
      </c>
    </row>
    <row r="244" spans="1:41">
      <c r="A244" s="358" t="s">
        <v>589</v>
      </c>
      <c r="B244" s="359" t="s">
        <v>590</v>
      </c>
      <c r="C244" s="359" t="s">
        <v>562</v>
      </c>
      <c r="D244" s="121" t="s">
        <v>43</v>
      </c>
      <c r="E244" s="121" t="s">
        <v>44</v>
      </c>
      <c r="G244" s="121" t="s">
        <v>97</v>
      </c>
      <c r="H244" s="121" t="s">
        <v>62</v>
      </c>
      <c r="I244" s="121" t="s">
        <v>46</v>
      </c>
      <c r="J244" s="231">
        <v>637979420</v>
      </c>
      <c r="M244" s="361">
        <v>-0.14979637000000001</v>
      </c>
      <c r="N244" s="361">
        <v>5.7060050000000001E-2</v>
      </c>
      <c r="O244" s="229">
        <v>1.7500000000000002E-2</v>
      </c>
      <c r="P244" s="229">
        <v>0.2</v>
      </c>
      <c r="Q244" s="229" t="s">
        <v>108</v>
      </c>
      <c r="R244" s="123">
        <v>7.5000000000000002E-4</v>
      </c>
      <c r="S244" s="123">
        <v>9.025E-3</v>
      </c>
      <c r="T244" s="123">
        <v>0.20977500000000002</v>
      </c>
      <c r="U244" s="231">
        <v>14748000</v>
      </c>
      <c r="V244" s="231">
        <v>10078000</v>
      </c>
      <c r="W244" s="231">
        <v>0</v>
      </c>
      <c r="X244" s="231">
        <v>288000</v>
      </c>
      <c r="Y244" s="231">
        <v>312000</v>
      </c>
      <c r="Z244" s="231">
        <v>1932000</v>
      </c>
      <c r="AA244" s="231">
        <v>144000</v>
      </c>
      <c r="AB244" s="231">
        <v>0</v>
      </c>
      <c r="AC244" s="231">
        <v>0</v>
      </c>
      <c r="AD244" s="231">
        <v>10101530.5287595</v>
      </c>
      <c r="AE244" s="231">
        <v>0</v>
      </c>
      <c r="AF244" s="231">
        <v>1994000</v>
      </c>
      <c r="AG244" s="231">
        <v>0</v>
      </c>
      <c r="AH244" s="231">
        <v>0</v>
      </c>
      <c r="AI244" s="162">
        <v>0</v>
      </c>
      <c r="AJ244" s="123">
        <v>6.3E-2</v>
      </c>
    </row>
    <row r="245" spans="1:41">
      <c r="A245" s="358" t="s">
        <v>591</v>
      </c>
      <c r="B245" s="359" t="s">
        <v>592</v>
      </c>
      <c r="C245" s="359" t="s">
        <v>562</v>
      </c>
      <c r="D245" s="121" t="s">
        <v>43</v>
      </c>
      <c r="E245" s="121" t="s">
        <v>44</v>
      </c>
      <c r="G245" s="121" t="s">
        <v>48</v>
      </c>
      <c r="H245" s="121" t="s">
        <v>45</v>
      </c>
      <c r="I245" s="121" t="s">
        <v>46</v>
      </c>
      <c r="J245" s="231">
        <v>1294202387</v>
      </c>
      <c r="M245" s="361">
        <v>9.0854389999999993E-2</v>
      </c>
      <c r="N245" s="361">
        <v>9.0035190000000001E-2</v>
      </c>
      <c r="O245" s="229">
        <v>1.4999999999999999E-2</v>
      </c>
      <c r="R245" s="123">
        <v>4.0000000000000002E-4</v>
      </c>
      <c r="S245" s="123">
        <v>9.025E-3</v>
      </c>
      <c r="T245" s="123">
        <v>9.4249999999999994E-3</v>
      </c>
      <c r="U245" s="231">
        <v>9196474.5342134498</v>
      </c>
      <c r="V245" s="231">
        <v>13587315.840732574</v>
      </c>
      <c r="W245" s="231">
        <v>0</v>
      </c>
      <c r="X245" s="231">
        <v>679943.37117962493</v>
      </c>
      <c r="Y245" s="231">
        <v>544208.74570795172</v>
      </c>
      <c r="Z245" s="231">
        <v>184820.47599318068</v>
      </c>
      <c r="AA245" s="231">
        <v>339971.68558981246</v>
      </c>
      <c r="AB245" s="231">
        <v>0</v>
      </c>
      <c r="AC245" s="231">
        <v>0</v>
      </c>
      <c r="AD245" s="231">
        <v>0</v>
      </c>
      <c r="AE245" s="231">
        <v>0</v>
      </c>
      <c r="AF245" s="231">
        <v>37199.997622584226</v>
      </c>
      <c r="AG245" s="231">
        <v>0</v>
      </c>
      <c r="AH245" s="231">
        <v>272.19510455549437</v>
      </c>
      <c r="AI245" s="162">
        <v>0</v>
      </c>
      <c r="AJ245" s="123">
        <v>1.24E-2</v>
      </c>
    </row>
    <row r="246" spans="1:41">
      <c r="A246" s="358" t="s">
        <v>593</v>
      </c>
      <c r="B246" s="359" t="s">
        <v>594</v>
      </c>
      <c r="C246" s="359" t="s">
        <v>562</v>
      </c>
      <c r="D246" s="121" t="s">
        <v>43</v>
      </c>
      <c r="E246" s="121" t="s">
        <v>44</v>
      </c>
      <c r="G246" s="121" t="s">
        <v>48</v>
      </c>
      <c r="H246" s="121" t="s">
        <v>45</v>
      </c>
      <c r="I246" s="121" t="s">
        <v>46</v>
      </c>
      <c r="J246" s="231">
        <v>14188784677</v>
      </c>
      <c r="M246" s="361">
        <v>9.6366370000000007E-2</v>
      </c>
      <c r="N246" s="361">
        <v>9.0035190000000001E-2</v>
      </c>
      <c r="O246" s="229">
        <v>7.4999999999999997E-3</v>
      </c>
      <c r="R246" s="123">
        <v>4.0000000000000002E-4</v>
      </c>
      <c r="S246" s="123">
        <v>9.025E-3</v>
      </c>
      <c r="T246" s="123">
        <v>9.4249999999999994E-3</v>
      </c>
      <c r="U246" s="231">
        <v>92162525.465786546</v>
      </c>
      <c r="V246" s="231">
        <v>68082684.159267426</v>
      </c>
      <c r="W246" s="231">
        <v>0</v>
      </c>
      <c r="X246" s="231">
        <v>6814056.6288203755</v>
      </c>
      <c r="Y246" s="231">
        <v>5453791.2542920485</v>
      </c>
      <c r="Z246" s="231">
        <v>1852179.5240068194</v>
      </c>
      <c r="AA246" s="231">
        <v>3407028.3144101878</v>
      </c>
      <c r="AB246" s="231">
        <v>0</v>
      </c>
      <c r="AC246" s="231">
        <v>0</v>
      </c>
      <c r="AD246" s="231">
        <v>0</v>
      </c>
      <c r="AE246" s="231">
        <v>0</v>
      </c>
      <c r="AF246" s="231">
        <v>372800.00237741577</v>
      </c>
      <c r="AG246" s="231">
        <v>0</v>
      </c>
      <c r="AH246" s="231">
        <v>2727.8048954445057</v>
      </c>
      <c r="AI246" s="162">
        <v>0</v>
      </c>
      <c r="AJ246" s="123">
        <v>7.4000000000000003E-3</v>
      </c>
    </row>
    <row r="247" spans="1:41">
      <c r="A247" s="358" t="s">
        <v>573</v>
      </c>
      <c r="B247" s="359" t="s">
        <v>574</v>
      </c>
      <c r="C247" s="359" t="s">
        <v>562</v>
      </c>
      <c r="D247" s="121" t="s">
        <v>43</v>
      </c>
      <c r="E247" s="121" t="s">
        <v>44</v>
      </c>
      <c r="G247" s="121" t="s">
        <v>58</v>
      </c>
      <c r="H247" s="121" t="s">
        <v>62</v>
      </c>
      <c r="I247" s="121" t="s">
        <v>46</v>
      </c>
      <c r="J247" s="231">
        <v>2415278072</v>
      </c>
      <c r="M247" s="361">
        <v>-4.0855700000000002E-2</v>
      </c>
      <c r="N247" s="361">
        <v>-2.3203189999999999E-2</v>
      </c>
      <c r="O247" s="229">
        <v>1.7500000000000002E-2</v>
      </c>
      <c r="R247" s="123">
        <v>7.5000000000000002E-4</v>
      </c>
      <c r="S247" s="123">
        <v>9.025E-3</v>
      </c>
      <c r="T247" s="123">
        <v>9.7750000000000007E-3</v>
      </c>
      <c r="U247" s="231">
        <v>46892000</v>
      </c>
      <c r="V247" s="231">
        <v>40960000</v>
      </c>
      <c r="W247" s="231">
        <v>0</v>
      </c>
      <c r="X247" s="231">
        <v>1171000</v>
      </c>
      <c r="Y247" s="231">
        <v>1458000</v>
      </c>
      <c r="Z247" s="231">
        <f>895000+1037000</f>
        <v>1932000</v>
      </c>
      <c r="AA247" s="231">
        <v>585000</v>
      </c>
      <c r="AB247" s="231">
        <v>0</v>
      </c>
      <c r="AC247" s="231">
        <v>0</v>
      </c>
      <c r="AD247" s="231">
        <v>2579259.0873666732</v>
      </c>
      <c r="AE247" s="231">
        <v>0</v>
      </c>
      <c r="AF247" s="231">
        <v>786000</v>
      </c>
      <c r="AG247" s="231">
        <v>0</v>
      </c>
      <c r="AH247" s="231">
        <v>0</v>
      </c>
      <c r="AI247" s="122">
        <v>2.8E-3</v>
      </c>
      <c r="AJ247" s="123">
        <v>3.9100000000000003E-2</v>
      </c>
    </row>
    <row r="248" spans="1:41">
      <c r="A248" s="358" t="s">
        <v>595</v>
      </c>
      <c r="B248" s="359" t="s">
        <v>596</v>
      </c>
      <c r="C248" s="359" t="s">
        <v>562</v>
      </c>
      <c r="D248" s="121" t="s">
        <v>43</v>
      </c>
      <c r="E248" s="121" t="s">
        <v>44</v>
      </c>
      <c r="G248" s="121" t="s">
        <v>97</v>
      </c>
      <c r="H248" s="121" t="s">
        <v>62</v>
      </c>
      <c r="I248" s="121" t="s">
        <v>46</v>
      </c>
      <c r="J248" s="231">
        <v>970808499</v>
      </c>
      <c r="M248" s="361">
        <v>3.2305849999999997E-2</v>
      </c>
      <c r="N248" s="361">
        <v>5.707052E-2</v>
      </c>
      <c r="O248" s="229">
        <v>1.7500000000000002E-2</v>
      </c>
      <c r="P248" s="229">
        <v>0.2</v>
      </c>
      <c r="Q248" s="229" t="s">
        <v>108</v>
      </c>
      <c r="R248" s="123">
        <v>7.5000000000000002E-4</v>
      </c>
      <c r="S248" s="123">
        <v>9.025E-3</v>
      </c>
      <c r="T248" s="123">
        <v>0.20977500000000002</v>
      </c>
      <c r="U248" s="231">
        <v>22863000</v>
      </c>
      <c r="V248" s="231">
        <v>17219000</v>
      </c>
      <c r="W248" s="231">
        <v>0</v>
      </c>
      <c r="X248" s="231">
        <v>492000</v>
      </c>
      <c r="Y248" s="231">
        <v>581000</v>
      </c>
      <c r="Z248" s="231">
        <v>2232000</v>
      </c>
      <c r="AA248" s="231">
        <v>246000</v>
      </c>
      <c r="AB248" s="231">
        <v>0</v>
      </c>
      <c r="AC248" s="231">
        <v>0</v>
      </c>
      <c r="AD248" s="231">
        <v>3016258.3343000012</v>
      </c>
      <c r="AE248" s="231">
        <v>0</v>
      </c>
      <c r="AF248" s="231">
        <v>2092000</v>
      </c>
      <c r="AG248" s="231">
        <v>0</v>
      </c>
      <c r="AH248" s="231">
        <v>1000</v>
      </c>
      <c r="AI248" s="162">
        <v>0</v>
      </c>
      <c r="AJ248" s="123">
        <v>3.6700000000000003E-2</v>
      </c>
    </row>
    <row r="249" spans="1:41">
      <c r="A249" s="358" t="s">
        <v>597</v>
      </c>
      <c r="B249" s="359" t="s">
        <v>598</v>
      </c>
      <c r="C249" s="359" t="s">
        <v>562</v>
      </c>
      <c r="D249" s="121" t="s">
        <v>43</v>
      </c>
      <c r="E249" s="121" t="s">
        <v>44</v>
      </c>
      <c r="G249" s="121" t="s">
        <v>97</v>
      </c>
      <c r="H249" s="121" t="s">
        <v>62</v>
      </c>
      <c r="I249" s="121" t="s">
        <v>46</v>
      </c>
      <c r="J249" s="231">
        <v>611671012</v>
      </c>
      <c r="K249" s="231"/>
      <c r="M249" s="361">
        <v>0.17549439999999999</v>
      </c>
      <c r="N249" s="361">
        <v>5.707193E-2</v>
      </c>
      <c r="O249" s="229">
        <v>1.7500000000000002E-2</v>
      </c>
      <c r="P249" s="229">
        <v>0.2</v>
      </c>
      <c r="Q249" s="229" t="s">
        <v>108</v>
      </c>
      <c r="R249" s="123">
        <v>7.5000000000000002E-4</v>
      </c>
      <c r="S249" s="123">
        <v>9.025E-3</v>
      </c>
      <c r="T249" s="123">
        <v>0.20977500000000002</v>
      </c>
      <c r="U249" s="231">
        <v>35058000</v>
      </c>
      <c r="V249" s="231">
        <v>11450000</v>
      </c>
      <c r="W249" s="231">
        <v>17686190</v>
      </c>
      <c r="X249" s="231">
        <v>327000</v>
      </c>
      <c r="Y249" s="231">
        <v>388000</v>
      </c>
      <c r="Z249" s="231">
        <v>2232000</v>
      </c>
      <c r="AA249" s="231">
        <v>164000</v>
      </c>
      <c r="AB249" s="231">
        <v>0</v>
      </c>
      <c r="AC249" s="231">
        <v>0</v>
      </c>
      <c r="AD249" s="231">
        <v>6043915.6612485023</v>
      </c>
      <c r="AE249" s="231">
        <v>0</v>
      </c>
      <c r="AF249" s="231">
        <v>2793000</v>
      </c>
      <c r="AG249" s="231">
        <v>0</v>
      </c>
      <c r="AH249" s="231">
        <v>18000</v>
      </c>
      <c r="AI249" s="162">
        <v>0</v>
      </c>
      <c r="AJ249" s="123">
        <v>5.1200000000000002E-2</v>
      </c>
    </row>
    <row r="250" spans="1:41">
      <c r="A250" s="358" t="s">
        <v>575</v>
      </c>
      <c r="B250" s="359" t="s">
        <v>576</v>
      </c>
      <c r="C250" s="359" t="s">
        <v>562</v>
      </c>
      <c r="D250" s="121" t="s">
        <v>43</v>
      </c>
      <c r="E250" s="121" t="s">
        <v>44</v>
      </c>
      <c r="G250" s="121" t="s">
        <v>58</v>
      </c>
      <c r="H250" s="121" t="s">
        <v>62</v>
      </c>
      <c r="I250" s="121" t="s">
        <v>46</v>
      </c>
      <c r="J250" s="231">
        <v>750369284</v>
      </c>
      <c r="M250" s="361">
        <v>0.24846581000000001</v>
      </c>
      <c r="N250" s="361">
        <v>0.23332832000000001</v>
      </c>
      <c r="O250" s="229">
        <v>1.7500000000000002E-2</v>
      </c>
      <c r="R250" s="123">
        <v>7.5000000000000002E-4</v>
      </c>
      <c r="S250" s="123">
        <v>9.025E-3</v>
      </c>
      <c r="T250" s="123">
        <v>9.7750000000000007E-3</v>
      </c>
      <c r="U250" s="231">
        <v>17740172.653352898</v>
      </c>
      <c r="V250" s="231">
        <v>15210801.636813467</v>
      </c>
      <c r="W250" s="231">
        <v>0</v>
      </c>
      <c r="X250" s="231">
        <v>434629.11672341987</v>
      </c>
      <c r="Y250" s="231">
        <v>544686.46168643713</v>
      </c>
      <c r="Z250" s="231">
        <v>474561.42772770044</v>
      </c>
      <c r="AA250" s="231">
        <v>217192.81351108712</v>
      </c>
      <c r="AB250" s="231">
        <v>0</v>
      </c>
      <c r="AC250" s="231">
        <v>0</v>
      </c>
      <c r="AD250" s="231">
        <v>2078497.1046752231</v>
      </c>
      <c r="AE250" s="231">
        <v>0</v>
      </c>
      <c r="AF250" s="231">
        <v>856596.76898206782</v>
      </c>
      <c r="AG250" s="231">
        <v>0</v>
      </c>
      <c r="AH250" s="231">
        <v>1704.4279087192936</v>
      </c>
      <c r="AI250" s="122">
        <v>1.6172276180822227E-4</v>
      </c>
      <c r="AJ250" s="123">
        <v>3.15E-2</v>
      </c>
    </row>
    <row r="251" spans="1:41">
      <c r="A251" s="358" t="s">
        <v>577</v>
      </c>
      <c r="B251" s="359" t="s">
        <v>578</v>
      </c>
      <c r="C251" s="359" t="s">
        <v>562</v>
      </c>
      <c r="D251" s="121" t="s">
        <v>43</v>
      </c>
      <c r="E251" s="121" t="s">
        <v>44</v>
      </c>
      <c r="G251" s="121" t="s">
        <v>58</v>
      </c>
      <c r="H251" s="121" t="s">
        <v>62</v>
      </c>
      <c r="I251" s="121" t="s">
        <v>239</v>
      </c>
      <c r="J251" s="231">
        <v>9841558.8158431388</v>
      </c>
      <c r="M251" s="361">
        <v>0.27827381000000001</v>
      </c>
      <c r="N251" s="361">
        <v>0.26462765999999999</v>
      </c>
      <c r="O251" s="229">
        <v>1.7500000000000002E-2</v>
      </c>
      <c r="R251" s="123">
        <v>7.5000000000000002E-4</v>
      </c>
      <c r="S251" s="123">
        <v>9.025E-3</v>
      </c>
      <c r="T251" s="123">
        <v>9.7750000000000007E-3</v>
      </c>
      <c r="U251" s="231">
        <v>246364.95953518513</v>
      </c>
      <c r="V251" s="231">
        <v>211238.56024270519</v>
      </c>
      <c r="W251" s="231">
        <v>0</v>
      </c>
      <c r="X251" s="231">
        <v>6035.8704983708785</v>
      </c>
      <c r="Y251" s="231">
        <v>7564.281403280479</v>
      </c>
      <c r="Z251" s="231">
        <v>6590.4266674088758</v>
      </c>
      <c r="AA251" s="231">
        <v>3016.2445291578842</v>
      </c>
      <c r="AB251" s="231">
        <v>0</v>
      </c>
      <c r="AC251" s="231">
        <v>0</v>
      </c>
      <c r="AD251" s="231">
        <v>28864.930747476668</v>
      </c>
      <c r="AE251" s="231">
        <v>0</v>
      </c>
      <c r="AF251" s="231">
        <v>11895.90611387605</v>
      </c>
      <c r="AG251" s="231">
        <v>0</v>
      </c>
      <c r="AH251" s="231">
        <v>23.670080385768152</v>
      </c>
      <c r="AI251" s="122">
        <v>1.6172276180822227E-4</v>
      </c>
      <c r="AJ251" s="123">
        <v>2.01E-2</v>
      </c>
    </row>
    <row r="252" spans="1:41">
      <c r="A252" s="358" t="s">
        <v>599</v>
      </c>
      <c r="B252" s="359" t="s">
        <v>600</v>
      </c>
      <c r="C252" s="359" t="s">
        <v>562</v>
      </c>
      <c r="D252" s="121" t="s">
        <v>43</v>
      </c>
      <c r="E252" s="268" t="s">
        <v>621</v>
      </c>
      <c r="G252" s="121" t="s">
        <v>622</v>
      </c>
      <c r="H252" s="121" t="s">
        <v>62</v>
      </c>
      <c r="I252" s="121" t="s">
        <v>46</v>
      </c>
      <c r="J252" s="231">
        <v>218460164</v>
      </c>
      <c r="M252" s="361">
        <v>6.1284140000000001E-2</v>
      </c>
      <c r="N252" s="361">
        <v>0</v>
      </c>
      <c r="O252" s="229">
        <v>0.02</v>
      </c>
      <c r="R252" s="123">
        <v>8.0000000000000004E-4</v>
      </c>
      <c r="S252" s="123">
        <v>9.025E-3</v>
      </c>
      <c r="T252" s="123">
        <v>9.8250000000000004E-3</v>
      </c>
      <c r="U252" s="231">
        <v>5520000</v>
      </c>
      <c r="V252" s="231">
        <v>4510000</v>
      </c>
      <c r="W252" s="231">
        <v>0</v>
      </c>
      <c r="X252" s="231">
        <v>0</v>
      </c>
      <c r="Y252" s="231">
        <v>182000</v>
      </c>
      <c r="Z252" s="231">
        <v>762000</v>
      </c>
      <c r="AA252" s="231">
        <v>57000</v>
      </c>
      <c r="AB252" s="231">
        <v>0</v>
      </c>
      <c r="AC252" s="231">
        <v>0</v>
      </c>
      <c r="AD252" s="231">
        <v>0</v>
      </c>
      <c r="AE252" s="231">
        <v>0</v>
      </c>
      <c r="AF252" s="231">
        <v>8000</v>
      </c>
      <c r="AG252" s="231">
        <v>0</v>
      </c>
      <c r="AH252" s="231">
        <v>1000</v>
      </c>
      <c r="AI252" s="162">
        <v>0</v>
      </c>
      <c r="AJ252" s="123">
        <v>2.2100000000000002E-2</v>
      </c>
    </row>
    <row r="253" spans="1:41">
      <c r="A253" s="253" t="s">
        <v>601</v>
      </c>
      <c r="B253" s="254" t="s">
        <v>602</v>
      </c>
      <c r="C253" s="254" t="s">
        <v>603</v>
      </c>
      <c r="D253" s="255" t="s">
        <v>43</v>
      </c>
      <c r="E253" s="255" t="s">
        <v>44</v>
      </c>
      <c r="F253" s="255" t="s">
        <v>55</v>
      </c>
      <c r="G253" s="255" t="s">
        <v>97</v>
      </c>
      <c r="H253" s="255" t="s">
        <v>45</v>
      </c>
      <c r="I253" s="255" t="s">
        <v>46</v>
      </c>
      <c r="J253" s="180">
        <v>13763918925.5116</v>
      </c>
      <c r="K253" s="180"/>
      <c r="L253" s="128"/>
      <c r="M253" s="129">
        <v>0.13789999999999999</v>
      </c>
      <c r="N253" s="129">
        <v>5.7099999999999998E-2</v>
      </c>
      <c r="O253" s="250" t="s">
        <v>604</v>
      </c>
      <c r="P253" s="250" t="s">
        <v>92</v>
      </c>
      <c r="Q253" s="250" t="s">
        <v>122</v>
      </c>
      <c r="R253" s="129" t="s">
        <v>204</v>
      </c>
      <c r="S253" s="129" t="s">
        <v>352</v>
      </c>
      <c r="T253" s="129" t="s">
        <v>353</v>
      </c>
      <c r="U253" s="180">
        <f t="shared" ref="U253" si="6">SUM(V253:AH253)</f>
        <v>10273282.75</v>
      </c>
      <c r="V253" s="180"/>
      <c r="W253" s="180"/>
      <c r="X253" s="180"/>
      <c r="Y253" s="180">
        <v>5546818</v>
      </c>
      <c r="Z253" s="180">
        <v>1086723</v>
      </c>
      <c r="AA253" s="180">
        <v>3469994</v>
      </c>
      <c r="AB253" s="180"/>
      <c r="AC253" s="180"/>
      <c r="AD253" s="180">
        <v>80800</v>
      </c>
      <c r="AE253" s="180"/>
      <c r="AF253" s="180">
        <v>88947.75</v>
      </c>
      <c r="AG253" s="180"/>
      <c r="AH253" s="180"/>
      <c r="AI253" s="129">
        <v>1.78E-2</v>
      </c>
      <c r="AJ253" s="129">
        <v>1.8637413369821186E-2</v>
      </c>
      <c r="AK253" s="180">
        <v>0</v>
      </c>
    </row>
    <row r="254" spans="1:41" ht="38.25">
      <c r="A254" s="105" t="s">
        <v>605</v>
      </c>
      <c r="B254" s="50" t="s">
        <v>606</v>
      </c>
      <c r="C254" s="50" t="s">
        <v>607</v>
      </c>
      <c r="D254" s="101" t="s">
        <v>43</v>
      </c>
      <c r="E254" s="121" t="s">
        <v>44</v>
      </c>
      <c r="F254" s="101" t="s">
        <v>55</v>
      </c>
      <c r="G254" s="43" t="s">
        <v>58</v>
      </c>
      <c r="H254" s="43" t="s">
        <v>62</v>
      </c>
      <c r="I254" s="121" t="s">
        <v>46</v>
      </c>
      <c r="J254" s="177">
        <v>2402426826.6547947</v>
      </c>
      <c r="K254" s="177">
        <v>0</v>
      </c>
      <c r="L254" s="121">
        <v>0</v>
      </c>
      <c r="M254" s="121">
        <v>0</v>
      </c>
      <c r="N254" s="123">
        <v>0.2114</v>
      </c>
      <c r="O254" s="52">
        <v>1.6E-2</v>
      </c>
      <c r="P254" s="229" t="s">
        <v>608</v>
      </c>
      <c r="Q254" s="229" t="s">
        <v>122</v>
      </c>
      <c r="R254" s="50" t="s">
        <v>609</v>
      </c>
      <c r="S254" s="51" t="s">
        <v>352</v>
      </c>
      <c r="T254" s="51" t="s">
        <v>352</v>
      </c>
      <c r="U254" s="231">
        <v>41598507</v>
      </c>
      <c r="V254" s="362">
        <v>38440592</v>
      </c>
      <c r="W254" s="231">
        <v>0</v>
      </c>
      <c r="X254" s="362">
        <v>0</v>
      </c>
      <c r="Y254" s="362">
        <v>1246974</v>
      </c>
      <c r="Z254" s="362">
        <v>1220412</v>
      </c>
      <c r="AA254" s="362">
        <v>600909</v>
      </c>
      <c r="AB254" s="231">
        <v>0</v>
      </c>
      <c r="AC254" s="231">
        <v>0</v>
      </c>
      <c r="AD254" s="231">
        <v>0</v>
      </c>
      <c r="AE254" s="231">
        <v>0</v>
      </c>
      <c r="AF254" s="231">
        <v>89620</v>
      </c>
      <c r="AG254" s="177">
        <v>0</v>
      </c>
      <c r="AH254" s="177">
        <v>0</v>
      </c>
      <c r="AI254" s="163">
        <v>4.6561881066665188E-3</v>
      </c>
      <c r="AJ254" s="163">
        <v>2.47E-2</v>
      </c>
      <c r="AK254" s="198" t="s">
        <v>610</v>
      </c>
      <c r="AL254" s="363"/>
      <c r="AM254" s="364">
        <f>(U254-AD254-AF254)/J254+AI254</f>
        <v>2.1934086663018437E-2</v>
      </c>
      <c r="AN254" s="365" t="s">
        <v>611</v>
      </c>
      <c r="AO254" s="365"/>
    </row>
    <row r="255" spans="1:41" ht="38.25">
      <c r="A255" s="105" t="s">
        <v>612</v>
      </c>
      <c r="B255" s="50" t="s">
        <v>613</v>
      </c>
      <c r="C255" s="50" t="s">
        <v>607</v>
      </c>
      <c r="D255" s="101" t="s">
        <v>43</v>
      </c>
      <c r="E255" s="121" t="s">
        <v>44</v>
      </c>
      <c r="F255" s="101" t="s">
        <v>1349</v>
      </c>
      <c r="G255" s="43" t="s">
        <v>58</v>
      </c>
      <c r="H255" s="43" t="s">
        <v>45</v>
      </c>
      <c r="I255" s="121" t="s">
        <v>46</v>
      </c>
      <c r="J255" s="177">
        <v>1044035910.3808219</v>
      </c>
      <c r="K255" s="177">
        <v>0</v>
      </c>
      <c r="L255" s="121">
        <v>0</v>
      </c>
      <c r="M255" s="121">
        <v>0</v>
      </c>
      <c r="N255" s="123">
        <v>2.1499999999999998E-2</v>
      </c>
      <c r="O255" s="52">
        <v>1.7500000000000002E-2</v>
      </c>
      <c r="P255" s="229" t="s">
        <v>608</v>
      </c>
      <c r="Q255" s="229" t="s">
        <v>122</v>
      </c>
      <c r="R255" s="50" t="s">
        <v>609</v>
      </c>
      <c r="S255" s="51" t="s">
        <v>352</v>
      </c>
      <c r="T255" s="51" t="s">
        <v>352</v>
      </c>
      <c r="U255" s="231">
        <v>21335616</v>
      </c>
      <c r="V255" s="231">
        <v>18271541</v>
      </c>
      <c r="W255" s="231">
        <v>0</v>
      </c>
      <c r="X255" s="231">
        <v>0</v>
      </c>
      <c r="Y255" s="231">
        <v>594577</v>
      </c>
      <c r="Z255" s="231">
        <v>1244886</v>
      </c>
      <c r="AA255" s="231">
        <v>260285</v>
      </c>
      <c r="AB255" s="231">
        <v>0</v>
      </c>
      <c r="AC255" s="231">
        <v>0</v>
      </c>
      <c r="AD255" s="231">
        <v>917693</v>
      </c>
      <c r="AE255" s="231">
        <v>0</v>
      </c>
      <c r="AF255" s="231">
        <v>46634</v>
      </c>
      <c r="AG255" s="177">
        <v>0</v>
      </c>
      <c r="AH255" s="177">
        <v>0</v>
      </c>
      <c r="AI255" s="164">
        <v>0</v>
      </c>
      <c r="AJ255" s="163">
        <v>1.9952177691284368E-2</v>
      </c>
      <c r="AK255" s="198">
        <v>0</v>
      </c>
      <c r="AL255" s="363"/>
      <c r="AM255" s="364">
        <f>(U255-AD255-AF255)/J255</f>
        <v>1.9512057772581193E-2</v>
      </c>
      <c r="AN255" s="365">
        <f t="shared" ref="AN255:AN257" si="7">U255-V255-W255-X255-Y255-Z255-AA255-AB255-AC255-AD255-AE255-AF255</f>
        <v>0</v>
      </c>
      <c r="AO255" s="365"/>
    </row>
    <row r="256" spans="1:41" ht="38.25">
      <c r="A256" s="105" t="s">
        <v>614</v>
      </c>
      <c r="B256" s="50" t="s">
        <v>615</v>
      </c>
      <c r="C256" s="50" t="s">
        <v>607</v>
      </c>
      <c r="D256" s="101" t="s">
        <v>43</v>
      </c>
      <c r="E256" s="121" t="s">
        <v>44</v>
      </c>
      <c r="F256" s="101" t="s">
        <v>1348</v>
      </c>
      <c r="G256" s="43" t="s">
        <v>48</v>
      </c>
      <c r="H256" s="43" t="s">
        <v>45</v>
      </c>
      <c r="I256" s="121" t="s">
        <v>46</v>
      </c>
      <c r="J256" s="177">
        <v>2024358608.210959</v>
      </c>
      <c r="K256" s="177">
        <v>0</v>
      </c>
      <c r="L256" s="121">
        <v>0</v>
      </c>
      <c r="M256" s="121">
        <v>0</v>
      </c>
      <c r="N256" s="123">
        <v>0.09</v>
      </c>
      <c r="O256" s="52">
        <v>1.2999999999999999E-2</v>
      </c>
      <c r="P256" s="229" t="s">
        <v>608</v>
      </c>
      <c r="Q256" s="229" t="s">
        <v>122</v>
      </c>
      <c r="R256" s="50" t="s">
        <v>609</v>
      </c>
      <c r="S256" s="51" t="s">
        <v>352</v>
      </c>
      <c r="T256" s="51" t="s">
        <v>352</v>
      </c>
      <c r="U256" s="231">
        <v>29304548</v>
      </c>
      <c r="V256" s="231">
        <v>26317653</v>
      </c>
      <c r="W256" s="231">
        <v>0</v>
      </c>
      <c r="X256" s="231">
        <v>0</v>
      </c>
      <c r="Y256" s="231">
        <v>1196569</v>
      </c>
      <c r="Z256" s="231">
        <v>1189911</v>
      </c>
      <c r="AA256" s="231">
        <v>504933</v>
      </c>
      <c r="AB256" s="231">
        <v>0</v>
      </c>
      <c r="AC256" s="231">
        <v>0</v>
      </c>
      <c r="AD256" s="231">
        <v>0</v>
      </c>
      <c r="AE256" s="231">
        <v>0</v>
      </c>
      <c r="AF256" s="231">
        <v>95482</v>
      </c>
      <c r="AG256" s="177">
        <v>0</v>
      </c>
      <c r="AH256" s="177">
        <v>0</v>
      </c>
      <c r="AI256" s="164">
        <v>0</v>
      </c>
      <c r="AJ256" s="163">
        <v>1.4186441986867202E-2</v>
      </c>
      <c r="AK256" s="198">
        <v>0</v>
      </c>
      <c r="AL256" s="363"/>
      <c r="AM256" s="364">
        <f t="shared" ref="AM256" si="8">(U256-AD256-AF256)/J256</f>
        <v>1.4428800253831368E-2</v>
      </c>
      <c r="AN256" s="365">
        <f t="shared" si="7"/>
        <v>0</v>
      </c>
      <c r="AO256" s="365"/>
    </row>
    <row r="257" spans="1:41" ht="38.25">
      <c r="A257" s="105" t="s">
        <v>616</v>
      </c>
      <c r="B257" s="50" t="s">
        <v>617</v>
      </c>
      <c r="C257" s="50" t="s">
        <v>607</v>
      </c>
      <c r="D257" s="101" t="s">
        <v>43</v>
      </c>
      <c r="E257" s="121" t="s">
        <v>44</v>
      </c>
      <c r="F257" s="101" t="s">
        <v>1348</v>
      </c>
      <c r="G257" s="205" t="s">
        <v>365</v>
      </c>
      <c r="H257" s="43" t="s">
        <v>45</v>
      </c>
      <c r="I257" s="121" t="s">
        <v>46</v>
      </c>
      <c r="J257" s="177">
        <v>2002094822.3972602</v>
      </c>
      <c r="K257" s="177">
        <v>0</v>
      </c>
      <c r="L257" s="121">
        <v>0</v>
      </c>
      <c r="M257" s="121">
        <v>0</v>
      </c>
      <c r="N257" s="123">
        <v>5.7099999999999998E-2</v>
      </c>
      <c r="O257" s="52">
        <v>1.2500000000000001E-2</v>
      </c>
      <c r="P257" s="229" t="s">
        <v>608</v>
      </c>
      <c r="Q257" s="229" t="s">
        <v>122</v>
      </c>
      <c r="R257" s="50" t="s">
        <v>609</v>
      </c>
      <c r="S257" s="51" t="s">
        <v>352</v>
      </c>
      <c r="T257" s="51" t="s">
        <v>352</v>
      </c>
      <c r="U257" s="231">
        <v>27617091.539999999</v>
      </c>
      <c r="V257" s="231">
        <v>25027094.079999998</v>
      </c>
      <c r="W257" s="231">
        <v>0</v>
      </c>
      <c r="X257" s="231">
        <v>0</v>
      </c>
      <c r="Y257" s="231">
        <v>1135167.98</v>
      </c>
      <c r="Z257" s="231">
        <v>882909</v>
      </c>
      <c r="AA257" s="231">
        <v>499946.96</v>
      </c>
      <c r="AB257" s="231">
        <v>0</v>
      </c>
      <c r="AC257" s="231">
        <v>0</v>
      </c>
      <c r="AD257" s="231">
        <v>0</v>
      </c>
      <c r="AE257" s="231">
        <v>0</v>
      </c>
      <c r="AF257" s="231">
        <v>71973.52</v>
      </c>
      <c r="AG257" s="177">
        <v>0</v>
      </c>
      <c r="AH257" s="177">
        <v>0</v>
      </c>
      <c r="AI257" s="164">
        <v>0</v>
      </c>
      <c r="AJ257" s="163">
        <v>1.3405199049395798E-2</v>
      </c>
      <c r="AK257" s="198">
        <v>0</v>
      </c>
      <c r="AL257" s="363"/>
      <c r="AM257" s="364">
        <f>(U257-AD257-AF257)/J257</f>
        <v>1.3758148571114199E-2</v>
      </c>
      <c r="AN257" s="365">
        <f t="shared" si="7"/>
        <v>8.8766682893037796E-10</v>
      </c>
      <c r="AO257" s="365"/>
    </row>
    <row r="258" spans="1:41">
      <c r="A258" s="226" t="s">
        <v>1197</v>
      </c>
      <c r="B258" s="121" t="s">
        <v>1198</v>
      </c>
      <c r="C258" s="121" t="s">
        <v>1199</v>
      </c>
      <c r="D258" s="121" t="s">
        <v>43</v>
      </c>
      <c r="E258" s="121" t="s">
        <v>44</v>
      </c>
      <c r="F258" s="121" t="s">
        <v>55</v>
      </c>
      <c r="G258" s="121" t="s">
        <v>58</v>
      </c>
      <c r="H258" s="121" t="s">
        <v>62</v>
      </c>
      <c r="I258" s="121" t="s">
        <v>46</v>
      </c>
      <c r="J258" s="177">
        <v>496427982.42194092</v>
      </c>
      <c r="M258" s="275">
        <v>0.24322690013747761</v>
      </c>
      <c r="N258" s="123">
        <v>0.27610000000000001</v>
      </c>
      <c r="O258" s="229">
        <v>8.0000000000000002E-3</v>
      </c>
      <c r="P258" s="229" t="s">
        <v>608</v>
      </c>
      <c r="Q258" s="229" t="s">
        <v>122</v>
      </c>
      <c r="R258" s="123">
        <v>1E-3</v>
      </c>
      <c r="S258" s="123">
        <v>1.2999999999999999E-2</v>
      </c>
      <c r="T258" s="123">
        <v>2.1999999999999999E-2</v>
      </c>
      <c r="U258" s="177">
        <f>SUM(V258:AH258)-AE258</f>
        <v>11736132.379825499</v>
      </c>
      <c r="V258" s="177">
        <v>3845720</v>
      </c>
      <c r="W258" s="177">
        <v>0</v>
      </c>
      <c r="X258" s="177">
        <v>5968193.379825498</v>
      </c>
      <c r="Y258" s="177">
        <v>401052</v>
      </c>
      <c r="Z258" s="177">
        <v>1339850</v>
      </c>
      <c r="AA258" s="177">
        <v>125000</v>
      </c>
      <c r="AB258" s="177">
        <v>0</v>
      </c>
      <c r="AC258" s="177">
        <v>0</v>
      </c>
      <c r="AD258" s="177">
        <v>0</v>
      </c>
      <c r="AE258" s="177">
        <v>0</v>
      </c>
      <c r="AF258" s="177">
        <v>56317</v>
      </c>
      <c r="AG258" s="177">
        <v>0</v>
      </c>
      <c r="AH258" s="177">
        <v>0</v>
      </c>
      <c r="AI258" s="123">
        <v>8.9999999999999993E-3</v>
      </c>
      <c r="AJ258" s="123">
        <v>3.261406758333333E-2</v>
      </c>
      <c r="AK258" s="177">
        <v>1111919.56381741</v>
      </c>
      <c r="AL258" s="363"/>
      <c r="AM258" s="364"/>
      <c r="AN258" s="365"/>
      <c r="AO258" s="365"/>
    </row>
    <row r="259" spans="1:41">
      <c r="A259" s="226" t="s">
        <v>1200</v>
      </c>
      <c r="B259" s="121" t="s">
        <v>1201</v>
      </c>
      <c r="C259" s="121" t="s">
        <v>1199</v>
      </c>
      <c r="D259" s="121" t="s">
        <v>43</v>
      </c>
      <c r="E259" s="121" t="s">
        <v>44</v>
      </c>
      <c r="F259" s="121" t="s">
        <v>1348</v>
      </c>
      <c r="G259" s="121" t="s">
        <v>81</v>
      </c>
      <c r="H259" s="121" t="s">
        <v>45</v>
      </c>
      <c r="I259" s="121" t="s">
        <v>46</v>
      </c>
      <c r="J259" s="177">
        <v>15248468356.318548</v>
      </c>
      <c r="M259" s="275">
        <v>5.744056926782326E-2</v>
      </c>
      <c r="N259" s="123">
        <v>6.480000000000001E-2</v>
      </c>
      <c r="O259" s="229">
        <v>8.0000000000000002E-3</v>
      </c>
      <c r="P259" s="229" t="s">
        <v>608</v>
      </c>
      <c r="Q259" s="229" t="s">
        <v>122</v>
      </c>
      <c r="R259" s="123">
        <v>1E-3</v>
      </c>
      <c r="S259" s="123">
        <v>1.2999999999999999E-2</v>
      </c>
      <c r="T259" s="123">
        <v>2.1999999999999999E-2</v>
      </c>
      <c r="U259" s="177">
        <f t="shared" ref="U259:U322" si="9">SUM(V259:AH259)-AE259</f>
        <v>185222717.52279112</v>
      </c>
      <c r="V259" s="177">
        <v>61048467</v>
      </c>
      <c r="W259" s="177">
        <v>0</v>
      </c>
      <c r="X259" s="177">
        <v>106194179.52279112</v>
      </c>
      <c r="Y259" s="177">
        <v>12209691</v>
      </c>
      <c r="Z259" s="177">
        <v>1896110</v>
      </c>
      <c r="AA259" s="177">
        <v>3815000</v>
      </c>
      <c r="AB259" s="177">
        <v>0</v>
      </c>
      <c r="AC259" s="177">
        <v>0</v>
      </c>
      <c r="AD259" s="177">
        <v>0</v>
      </c>
      <c r="AE259" s="177">
        <v>0</v>
      </c>
      <c r="AF259" s="177">
        <v>59270</v>
      </c>
      <c r="AG259" s="177">
        <v>0</v>
      </c>
      <c r="AH259" s="177">
        <v>0</v>
      </c>
      <c r="AI259" s="123" t="s">
        <v>122</v>
      </c>
      <c r="AJ259" s="123">
        <v>1.21E-2</v>
      </c>
      <c r="AK259" s="177" t="s">
        <v>122</v>
      </c>
      <c r="AL259" s="363"/>
      <c r="AM259" s="364"/>
      <c r="AN259" s="365"/>
      <c r="AO259" s="365"/>
    </row>
    <row r="260" spans="1:41">
      <c r="A260" s="226" t="s">
        <v>1202</v>
      </c>
      <c r="B260" s="121" t="s">
        <v>1203</v>
      </c>
      <c r="C260" s="121" t="s">
        <v>1199</v>
      </c>
      <c r="D260" s="121" t="s">
        <v>43</v>
      </c>
      <c r="E260" s="121" t="s">
        <v>44</v>
      </c>
      <c r="F260" s="121" t="s">
        <v>55</v>
      </c>
      <c r="G260" s="121" t="s">
        <v>58</v>
      </c>
      <c r="H260" s="121" t="s">
        <v>62</v>
      </c>
      <c r="I260" s="121" t="s">
        <v>46</v>
      </c>
      <c r="J260" s="177">
        <v>2750172821.6061945</v>
      </c>
      <c r="M260" s="275">
        <v>-5.8393546274448593E-2</v>
      </c>
      <c r="N260" s="123">
        <v>4.3E-3</v>
      </c>
      <c r="O260" s="229">
        <v>8.0000000000000002E-3</v>
      </c>
      <c r="P260" s="229" t="s">
        <v>608</v>
      </c>
      <c r="Q260" s="229" t="s">
        <v>122</v>
      </c>
      <c r="R260" s="123">
        <v>1E-3</v>
      </c>
      <c r="S260" s="123">
        <v>1.2999999999999999E-2</v>
      </c>
      <c r="T260" s="123">
        <v>2.1999999999999999E-2</v>
      </c>
      <c r="U260" s="177">
        <f t="shared" si="9"/>
        <v>67791175.80707857</v>
      </c>
      <c r="V260" s="177">
        <v>21041191</v>
      </c>
      <c r="W260" s="177">
        <v>0</v>
      </c>
      <c r="X260" s="177">
        <v>33559256.767078578</v>
      </c>
      <c r="Y260" s="177">
        <v>2217174</v>
      </c>
      <c r="Z260" s="177">
        <v>1835150</v>
      </c>
      <c r="AA260" s="177">
        <v>646000</v>
      </c>
      <c r="AB260" s="177">
        <v>0</v>
      </c>
      <c r="AC260" s="177">
        <v>0</v>
      </c>
      <c r="AD260" s="177">
        <v>8435285.0399999991</v>
      </c>
      <c r="AE260" s="177">
        <v>8435285.0399999991</v>
      </c>
      <c r="AF260" s="177">
        <v>57119</v>
      </c>
      <c r="AG260" s="177">
        <v>0</v>
      </c>
      <c r="AH260" s="177">
        <v>0</v>
      </c>
      <c r="AI260" s="123">
        <v>1.2699999999999999E-2</v>
      </c>
      <c r="AJ260" s="123">
        <v>3.4877378000000001E-2</v>
      </c>
      <c r="AK260" s="177">
        <v>5747545.0536710601</v>
      </c>
      <c r="AL260" s="363"/>
      <c r="AM260" s="364"/>
      <c r="AN260" s="365"/>
      <c r="AO260" s="365"/>
    </row>
    <row r="261" spans="1:41">
      <c r="A261" s="226" t="s">
        <v>1204</v>
      </c>
      <c r="B261" s="121" t="s">
        <v>1205</v>
      </c>
      <c r="C261" s="121" t="s">
        <v>1199</v>
      </c>
      <c r="D261" s="121" t="s">
        <v>553</v>
      </c>
      <c r="E261" s="121" t="s">
        <v>621</v>
      </c>
      <c r="F261" s="121" t="s">
        <v>884</v>
      </c>
      <c r="G261" s="121" t="s">
        <v>622</v>
      </c>
      <c r="H261" s="121" t="s">
        <v>45</v>
      </c>
      <c r="I261" s="121" t="s">
        <v>46</v>
      </c>
      <c r="J261" s="180">
        <v>322346384.45816731</v>
      </c>
      <c r="M261" s="275">
        <v>0.1277742999866931</v>
      </c>
      <c r="N261" s="123">
        <v>5.7099999999999998E-2</v>
      </c>
      <c r="O261" s="229">
        <v>0.05</v>
      </c>
      <c r="P261" s="229" t="s">
        <v>608</v>
      </c>
      <c r="Q261" s="229" t="s">
        <v>122</v>
      </c>
      <c r="R261" s="123">
        <v>1E-3</v>
      </c>
      <c r="S261" s="123">
        <v>6.7000000000000004E-2</v>
      </c>
      <c r="T261" s="123">
        <v>0.11800000000000001</v>
      </c>
      <c r="U261" s="177">
        <f t="shared" si="9"/>
        <v>1000008</v>
      </c>
      <c r="V261" s="177">
        <v>1000008</v>
      </c>
      <c r="W261" s="177">
        <v>0</v>
      </c>
      <c r="X261" s="177">
        <v>0</v>
      </c>
      <c r="Y261" s="177">
        <v>0</v>
      </c>
      <c r="Z261" s="177">
        <v>0</v>
      </c>
      <c r="AA261" s="177">
        <v>0</v>
      </c>
      <c r="AB261" s="177">
        <v>0</v>
      </c>
      <c r="AC261" s="177">
        <v>0</v>
      </c>
      <c r="AD261" s="177">
        <v>0</v>
      </c>
      <c r="AE261" s="177">
        <v>0</v>
      </c>
      <c r="AF261" s="177">
        <v>0</v>
      </c>
      <c r="AG261" s="177">
        <v>0</v>
      </c>
      <c r="AH261" s="177">
        <v>0</v>
      </c>
      <c r="AI261" s="123" t="s">
        <v>122</v>
      </c>
      <c r="AJ261" s="123" t="s">
        <v>122</v>
      </c>
      <c r="AK261" s="177" t="s">
        <v>122</v>
      </c>
      <c r="AL261" s="363"/>
      <c r="AM261" s="364"/>
      <c r="AN261" s="365"/>
      <c r="AO261" s="365"/>
    </row>
    <row r="262" spans="1:41">
      <c r="A262" s="226" t="s">
        <v>1206</v>
      </c>
      <c r="B262" s="121" t="s">
        <v>1207</v>
      </c>
      <c r="C262" s="121" t="s">
        <v>1199</v>
      </c>
      <c r="D262" s="121" t="s">
        <v>43</v>
      </c>
      <c r="E262" s="121" t="s">
        <v>621</v>
      </c>
      <c r="F262" s="121" t="s">
        <v>884</v>
      </c>
      <c r="G262" s="121" t="s">
        <v>622</v>
      </c>
      <c r="H262" s="121" t="s">
        <v>62</v>
      </c>
      <c r="I262" s="121" t="s">
        <v>239</v>
      </c>
      <c r="J262" s="177">
        <v>3714509.7762264148</v>
      </c>
      <c r="M262" s="275">
        <v>9.4675489573904592E-2</v>
      </c>
      <c r="N262" s="123">
        <v>1.9E-3</v>
      </c>
      <c r="O262" s="229">
        <v>4.8000000000000001E-2</v>
      </c>
      <c r="P262" s="229" t="s">
        <v>608</v>
      </c>
      <c r="Q262" s="229" t="s">
        <v>122</v>
      </c>
      <c r="R262" s="123">
        <v>1E-3</v>
      </c>
      <c r="S262" s="123">
        <v>4.4499999999999998E-2</v>
      </c>
      <c r="T262" s="123">
        <v>9.35E-2</v>
      </c>
      <c r="U262" s="177" t="e">
        <f t="shared" si="9"/>
        <v>#REF!</v>
      </c>
      <c r="V262" s="177">
        <v>8288.2999999999993</v>
      </c>
      <c r="W262" s="177">
        <v>0</v>
      </c>
      <c r="X262" s="177" t="e">
        <v>#REF!</v>
      </c>
      <c r="Y262" s="177">
        <v>1612.41</v>
      </c>
      <c r="Z262" s="177">
        <v>6858</v>
      </c>
      <c r="AA262" s="177">
        <v>0</v>
      </c>
      <c r="AB262" s="177">
        <v>0</v>
      </c>
      <c r="AC262" s="177">
        <v>0</v>
      </c>
      <c r="AD262" s="177">
        <v>0</v>
      </c>
      <c r="AE262" s="177">
        <v>0</v>
      </c>
      <c r="AF262" s="177">
        <v>0</v>
      </c>
      <c r="AG262" s="177">
        <v>0</v>
      </c>
      <c r="AH262" s="177">
        <v>0</v>
      </c>
      <c r="AI262" s="123" t="s">
        <v>122</v>
      </c>
      <c r="AJ262" s="123">
        <v>4.4999999999999997E-3</v>
      </c>
      <c r="AK262" s="177" t="s">
        <v>122</v>
      </c>
      <c r="AL262" s="363"/>
      <c r="AM262" s="364"/>
      <c r="AN262" s="365"/>
      <c r="AO262" s="365"/>
    </row>
    <row r="263" spans="1:41">
      <c r="A263" s="226" t="s">
        <v>1208</v>
      </c>
      <c r="B263" s="121" t="s">
        <v>1209</v>
      </c>
      <c r="C263" s="121" t="s">
        <v>1199</v>
      </c>
      <c r="D263" s="121" t="s">
        <v>43</v>
      </c>
      <c r="E263" s="121" t="s">
        <v>44</v>
      </c>
      <c r="F263" s="121" t="s">
        <v>884</v>
      </c>
      <c r="G263" s="121" t="s">
        <v>622</v>
      </c>
      <c r="H263" s="121" t="s">
        <v>62</v>
      </c>
      <c r="I263" s="121" t="s">
        <v>69</v>
      </c>
      <c r="J263" s="177">
        <v>5959511.5866603758</v>
      </c>
      <c r="M263" s="275">
        <v>0.17067595461122043</v>
      </c>
      <c r="N263" s="123">
        <v>8.0000000000000004E-4</v>
      </c>
      <c r="O263" s="229">
        <v>4.8000000000000001E-2</v>
      </c>
      <c r="P263" s="229" t="s">
        <v>608</v>
      </c>
      <c r="Q263" s="229" t="s">
        <v>122</v>
      </c>
      <c r="R263" s="123">
        <v>1E-3</v>
      </c>
      <c r="S263" s="123">
        <v>4.4499999999999998E-2</v>
      </c>
      <c r="T263" s="123">
        <v>9.35E-2</v>
      </c>
      <c r="U263" s="177" t="e">
        <f t="shared" si="9"/>
        <v>#REF!</v>
      </c>
      <c r="V263" s="177">
        <v>12125.69</v>
      </c>
      <c r="W263" s="177">
        <v>0</v>
      </c>
      <c r="X263" s="177" t="e">
        <v>#REF!</v>
      </c>
      <c r="Y263" s="177">
        <v>2341.6799999999998</v>
      </c>
      <c r="Z263" s="177">
        <v>4762.5</v>
      </c>
      <c r="AA263" s="177">
        <v>0</v>
      </c>
      <c r="AB263" s="177">
        <v>0</v>
      </c>
      <c r="AC263" s="177">
        <v>0</v>
      </c>
      <c r="AD263" s="177">
        <v>0</v>
      </c>
      <c r="AE263" s="177">
        <v>0</v>
      </c>
      <c r="AF263" s="177">
        <v>0</v>
      </c>
      <c r="AG263" s="177">
        <v>0</v>
      </c>
      <c r="AH263" s="177">
        <v>0</v>
      </c>
      <c r="AI263" s="123" t="s">
        <v>122</v>
      </c>
      <c r="AJ263" s="123">
        <v>3.2000000000000002E-3</v>
      </c>
      <c r="AK263" s="177" t="s">
        <v>122</v>
      </c>
      <c r="AL263" s="363"/>
      <c r="AM263" s="364"/>
      <c r="AN263" s="365"/>
      <c r="AO263" s="365"/>
    </row>
    <row r="264" spans="1:41">
      <c r="A264" s="226" t="s">
        <v>1210</v>
      </c>
      <c r="B264" s="121" t="s">
        <v>1211</v>
      </c>
      <c r="C264" s="121" t="s">
        <v>1199</v>
      </c>
      <c r="D264" s="121" t="s">
        <v>43</v>
      </c>
      <c r="E264" s="121" t="s">
        <v>44</v>
      </c>
      <c r="F264" s="121" t="s">
        <v>884</v>
      </c>
      <c r="G264" s="121" t="s">
        <v>622</v>
      </c>
      <c r="H264" s="121" t="s">
        <v>62</v>
      </c>
      <c r="I264" s="121" t="s">
        <v>69</v>
      </c>
      <c r="J264" s="177">
        <v>5720957.4474576265</v>
      </c>
      <c r="M264" s="275">
        <v>0.10110182395674783</v>
      </c>
      <c r="N264" s="123">
        <v>8.0000000000000004E-4</v>
      </c>
      <c r="O264" s="229">
        <v>4.8000000000000001E-2</v>
      </c>
      <c r="P264" s="229" t="s">
        <v>608</v>
      </c>
      <c r="Q264" s="229" t="s">
        <v>122</v>
      </c>
      <c r="R264" s="123">
        <v>1E-3</v>
      </c>
      <c r="S264" s="123">
        <v>4.4499999999999998E-2</v>
      </c>
      <c r="T264" s="123">
        <v>9.35E-2</v>
      </c>
      <c r="U264" s="177" t="e">
        <f t="shared" si="9"/>
        <v>#REF!</v>
      </c>
      <c r="V264" s="177">
        <v>12586.300000000001</v>
      </c>
      <c r="W264" s="177">
        <v>0</v>
      </c>
      <c r="X264" s="177" t="e">
        <v>#REF!</v>
      </c>
      <c r="Y264" s="177">
        <v>2446</v>
      </c>
      <c r="Z264" s="177">
        <v>4762.5</v>
      </c>
      <c r="AA264" s="177">
        <v>0</v>
      </c>
      <c r="AB264" s="177">
        <v>0</v>
      </c>
      <c r="AC264" s="177">
        <v>0</v>
      </c>
      <c r="AD264" s="177">
        <v>0</v>
      </c>
      <c r="AE264" s="177">
        <v>0</v>
      </c>
      <c r="AF264" s="177">
        <v>0</v>
      </c>
      <c r="AG264" s="177">
        <v>0</v>
      </c>
      <c r="AH264" s="177">
        <v>0</v>
      </c>
      <c r="AI264" s="123" t="s">
        <v>122</v>
      </c>
      <c r="AJ264" s="123">
        <v>3.5000000000000001E-3</v>
      </c>
      <c r="AK264" s="177" t="s">
        <v>122</v>
      </c>
      <c r="AL264" s="363"/>
      <c r="AM264" s="364"/>
      <c r="AN264" s="365"/>
      <c r="AO264" s="365"/>
    </row>
    <row r="265" spans="1:41">
      <c r="A265" s="226" t="s">
        <v>1212</v>
      </c>
      <c r="B265" s="121" t="s">
        <v>1213</v>
      </c>
      <c r="C265" s="121" t="s">
        <v>1199</v>
      </c>
      <c r="D265" s="121" t="s">
        <v>43</v>
      </c>
      <c r="E265" s="121" t="s">
        <v>44</v>
      </c>
      <c r="F265" s="121" t="s">
        <v>884</v>
      </c>
      <c r="G265" s="121" t="s">
        <v>622</v>
      </c>
      <c r="H265" s="121" t="s">
        <v>62</v>
      </c>
      <c r="I265" s="121" t="s">
        <v>69</v>
      </c>
      <c r="J265" s="177">
        <v>4404154.52457627</v>
      </c>
      <c r="M265" s="275">
        <v>0.11684708063845206</v>
      </c>
      <c r="N265" s="123">
        <v>8.0000000000000004E-4</v>
      </c>
      <c r="O265" s="229">
        <v>4.8000000000000001E-2</v>
      </c>
      <c r="P265" s="229" t="s">
        <v>608</v>
      </c>
      <c r="Q265" s="229" t="s">
        <v>122</v>
      </c>
      <c r="R265" s="123">
        <v>1E-3</v>
      </c>
      <c r="S265" s="123">
        <v>4.4499999999999998E-2</v>
      </c>
      <c r="T265" s="123">
        <v>9.35E-2</v>
      </c>
      <c r="U265" s="177" t="e">
        <f t="shared" si="9"/>
        <v>#REF!</v>
      </c>
      <c r="V265" s="177">
        <v>9384.2899999999991</v>
      </c>
      <c r="W265" s="177">
        <v>0</v>
      </c>
      <c r="X265" s="177" t="e">
        <v>#REF!</v>
      </c>
      <c r="Y265" s="177">
        <v>1825.29</v>
      </c>
      <c r="Z265" s="177">
        <v>4762.5</v>
      </c>
      <c r="AA265" s="177">
        <v>0</v>
      </c>
      <c r="AB265" s="177">
        <v>0</v>
      </c>
      <c r="AC265" s="177">
        <v>0</v>
      </c>
      <c r="AD265" s="177">
        <v>0</v>
      </c>
      <c r="AE265" s="177">
        <v>0</v>
      </c>
      <c r="AF265" s="177">
        <v>0</v>
      </c>
      <c r="AG265" s="177">
        <v>0</v>
      </c>
      <c r="AH265" s="177">
        <v>0</v>
      </c>
      <c r="AI265" s="123" t="s">
        <v>122</v>
      </c>
      <c r="AJ265" s="123">
        <v>3.5999999999999999E-3</v>
      </c>
      <c r="AK265" s="177" t="s">
        <v>122</v>
      </c>
      <c r="AL265" s="363"/>
      <c r="AM265" s="364"/>
      <c r="AN265" s="365"/>
      <c r="AO265" s="365"/>
    </row>
    <row r="266" spans="1:41">
      <c r="A266" s="226" t="s">
        <v>1214</v>
      </c>
      <c r="B266" s="121" t="s">
        <v>1215</v>
      </c>
      <c r="C266" s="121" t="s">
        <v>1199</v>
      </c>
      <c r="D266" s="121" t="s">
        <v>43</v>
      </c>
      <c r="E266" s="121" t="s">
        <v>44</v>
      </c>
      <c r="F266" s="121" t="s">
        <v>55</v>
      </c>
      <c r="G266" s="121" t="s">
        <v>88</v>
      </c>
      <c r="H266" s="121" t="s">
        <v>62</v>
      </c>
      <c r="I266" s="121" t="s">
        <v>69</v>
      </c>
      <c r="J266" s="177">
        <v>12029213.705406502</v>
      </c>
      <c r="M266" s="275">
        <v>3.1056855109238724E-2</v>
      </c>
      <c r="N266" s="123">
        <v>4.3299999999999998E-2</v>
      </c>
      <c r="O266" s="229">
        <v>3.0000000000000001E-3</v>
      </c>
      <c r="P266" s="229" t="s">
        <v>608</v>
      </c>
      <c r="Q266" s="229" t="s">
        <v>122</v>
      </c>
      <c r="R266" s="123">
        <v>1E-3</v>
      </c>
      <c r="S266" s="123">
        <v>6.0000000000000001E-3</v>
      </c>
      <c r="T266" s="123">
        <v>0.01</v>
      </c>
      <c r="U266" s="177">
        <f t="shared" si="9"/>
        <v>78100.160000000003</v>
      </c>
      <c r="V266" s="177">
        <v>29192.85</v>
      </c>
      <c r="W266" s="177">
        <v>0</v>
      </c>
      <c r="X266" s="177">
        <v>40755.01</v>
      </c>
      <c r="Y266" s="177">
        <v>0</v>
      </c>
      <c r="Z266" s="177">
        <v>5048</v>
      </c>
      <c r="AA266" s="177">
        <v>3035.05</v>
      </c>
      <c r="AB266" s="177">
        <v>0</v>
      </c>
      <c r="AC266" s="177">
        <v>0</v>
      </c>
      <c r="AD266" s="177">
        <v>0</v>
      </c>
      <c r="AE266" s="177">
        <v>0</v>
      </c>
      <c r="AF266" s="177">
        <v>69.25</v>
      </c>
      <c r="AG266" s="177">
        <v>0</v>
      </c>
      <c r="AH266" s="177">
        <v>0</v>
      </c>
      <c r="AI266" s="123">
        <v>3.8E-3</v>
      </c>
      <c r="AJ266" s="123">
        <v>1.0158569999999999E-2</v>
      </c>
      <c r="AK266" s="177">
        <v>7307.9224999999997</v>
      </c>
      <c r="AL266" s="363"/>
      <c r="AM266" s="364"/>
      <c r="AN266" s="365"/>
      <c r="AO266" s="365"/>
    </row>
    <row r="267" spans="1:41">
      <c r="A267" s="226" t="s">
        <v>1216</v>
      </c>
      <c r="B267" s="121" t="s">
        <v>1217</v>
      </c>
      <c r="C267" s="121" t="s">
        <v>1199</v>
      </c>
      <c r="D267" s="121" t="s">
        <v>43</v>
      </c>
      <c r="E267" s="121" t="s">
        <v>44</v>
      </c>
      <c r="F267" s="121" t="s">
        <v>884</v>
      </c>
      <c r="G267" s="121" t="s">
        <v>622</v>
      </c>
      <c r="H267" s="121" t="s">
        <v>62</v>
      </c>
      <c r="I267" s="121" t="s">
        <v>69</v>
      </c>
      <c r="J267" s="177">
        <v>7513252.9588135593</v>
      </c>
      <c r="M267" s="275">
        <v>6.8285020111221506E-2</v>
      </c>
      <c r="N267" s="123">
        <v>8.0000000000000004E-4</v>
      </c>
      <c r="O267" s="229">
        <v>4.8000000000000001E-2</v>
      </c>
      <c r="P267" s="229" t="s">
        <v>608</v>
      </c>
      <c r="Q267" s="229" t="s">
        <v>122</v>
      </c>
      <c r="R267" s="123">
        <v>1E-3</v>
      </c>
      <c r="S267" s="123">
        <v>4.4499999999999998E-2</v>
      </c>
      <c r="T267" s="123">
        <v>9.35E-2</v>
      </c>
      <c r="U267" s="177" t="e">
        <f t="shared" si="9"/>
        <v>#REF!</v>
      </c>
      <c r="V267" s="177">
        <v>15846.53</v>
      </c>
      <c r="W267" s="177">
        <v>0</v>
      </c>
      <c r="X267" s="177" t="e">
        <v>#REF!</v>
      </c>
      <c r="Y267" s="177">
        <v>3078.2699999999995</v>
      </c>
      <c r="Z267" s="177">
        <v>4762.5</v>
      </c>
      <c r="AA267" s="177">
        <v>0</v>
      </c>
      <c r="AB267" s="177">
        <v>0</v>
      </c>
      <c r="AC267" s="177">
        <v>0</v>
      </c>
      <c r="AD267" s="177">
        <v>0</v>
      </c>
      <c r="AE267" s="177">
        <v>0</v>
      </c>
      <c r="AF267" s="177">
        <v>0</v>
      </c>
      <c r="AG267" s="177">
        <v>0</v>
      </c>
      <c r="AH267" s="177">
        <v>0</v>
      </c>
      <c r="AI267" s="123" t="s">
        <v>122</v>
      </c>
      <c r="AJ267" s="123">
        <v>3.2000000000000002E-3</v>
      </c>
      <c r="AK267" s="177" t="s">
        <v>122</v>
      </c>
      <c r="AL267" s="363"/>
      <c r="AM267" s="364"/>
      <c r="AN267" s="365"/>
      <c r="AO267" s="365"/>
    </row>
    <row r="268" spans="1:41">
      <c r="A268" s="226" t="s">
        <v>1218</v>
      </c>
      <c r="B268" s="121" t="s">
        <v>1219</v>
      </c>
      <c r="C268" s="121" t="s">
        <v>1199</v>
      </c>
      <c r="D268" s="121" t="s">
        <v>43</v>
      </c>
      <c r="E268" s="121" t="s">
        <v>44</v>
      </c>
      <c r="F268" s="121" t="s">
        <v>55</v>
      </c>
      <c r="G268" s="121" t="s">
        <v>58</v>
      </c>
      <c r="H268" s="121" t="s">
        <v>62</v>
      </c>
      <c r="I268" s="121" t="s">
        <v>46</v>
      </c>
      <c r="J268" s="177">
        <v>1022785229.1365639</v>
      </c>
      <c r="M268" s="275">
        <v>-9.8256234966116129E-2</v>
      </c>
      <c r="N268" s="123">
        <v>-5.1500000000000004E-2</v>
      </c>
      <c r="O268" s="229">
        <v>8.0000000000000002E-3</v>
      </c>
      <c r="P268" s="229" t="s">
        <v>608</v>
      </c>
      <c r="Q268" s="229" t="s">
        <v>122</v>
      </c>
      <c r="R268" s="123">
        <v>1E-3</v>
      </c>
      <c r="S268" s="123">
        <v>1.2999999999999999E-2</v>
      </c>
      <c r="T268" s="123">
        <v>2.1999999999999999E-2</v>
      </c>
      <c r="U268" s="177">
        <f t="shared" si="9"/>
        <v>23004305.773657307</v>
      </c>
      <c r="V268" s="177">
        <v>7839309</v>
      </c>
      <c r="W268" s="177">
        <v>0</v>
      </c>
      <c r="X268" s="177">
        <v>12496987.343657305</v>
      </c>
      <c r="Y268" s="177">
        <v>824630</v>
      </c>
      <c r="Z268" s="177">
        <v>1009650</v>
      </c>
      <c r="AA268" s="177">
        <v>240000</v>
      </c>
      <c r="AB268" s="177">
        <v>0</v>
      </c>
      <c r="AC268" s="177">
        <v>0</v>
      </c>
      <c r="AD268" s="177">
        <v>576719.43000000005</v>
      </c>
      <c r="AE268" s="177">
        <v>576719.43000000005</v>
      </c>
      <c r="AF268" s="177">
        <v>17010</v>
      </c>
      <c r="AG268" s="177">
        <v>0</v>
      </c>
      <c r="AH268" s="177">
        <v>0</v>
      </c>
      <c r="AI268" s="123">
        <v>8.0999999999999996E-3</v>
      </c>
      <c r="AJ268" s="123">
        <v>3.2398855166666664E-2</v>
      </c>
      <c r="AK268" s="177">
        <v>1355555.69656691</v>
      </c>
      <c r="AL268" s="363"/>
      <c r="AM268" s="364"/>
      <c r="AN268" s="365"/>
      <c r="AO268" s="365"/>
    </row>
    <row r="269" spans="1:41">
      <c r="A269" s="226" t="s">
        <v>1220</v>
      </c>
      <c r="B269" s="121" t="s">
        <v>1221</v>
      </c>
      <c r="C269" s="121" t="s">
        <v>1199</v>
      </c>
      <c r="D269" s="121" t="s">
        <v>43</v>
      </c>
      <c r="E269" s="121" t="s">
        <v>44</v>
      </c>
      <c r="F269" s="121" t="s">
        <v>884</v>
      </c>
      <c r="G269" s="121" t="s">
        <v>622</v>
      </c>
      <c r="H269" s="121" t="s">
        <v>45</v>
      </c>
      <c r="I269" s="121" t="s">
        <v>46</v>
      </c>
      <c r="J269" s="177">
        <v>27297726799.271187</v>
      </c>
      <c r="M269" s="275">
        <v>0.13784584559719693</v>
      </c>
      <c r="N269" s="123">
        <v>5.7099999999999998E-2</v>
      </c>
      <c r="O269" s="229">
        <v>4.8000000000000001E-2</v>
      </c>
      <c r="P269" s="229" t="s">
        <v>608</v>
      </c>
      <c r="Q269" s="229" t="s">
        <v>122</v>
      </c>
      <c r="R269" s="123">
        <v>1E-3</v>
      </c>
      <c r="S269" s="123">
        <v>4.4499999999999998E-2</v>
      </c>
      <c r="T269" s="123">
        <v>9.35E-2</v>
      </c>
      <c r="U269" s="177" t="e">
        <f t="shared" si="9"/>
        <v>#REF!</v>
      </c>
      <c r="V269" s="177">
        <v>56395458</v>
      </c>
      <c r="W269" s="177">
        <v>0</v>
      </c>
      <c r="X269" s="177" t="e">
        <v>#REF!</v>
      </c>
      <c r="Y269" s="177">
        <v>10945412</v>
      </c>
      <c r="Z269" s="177">
        <v>1267714</v>
      </c>
      <c r="AA269" s="177">
        <v>0</v>
      </c>
      <c r="AB269" s="177">
        <v>0</v>
      </c>
      <c r="AC269" s="177">
        <v>0</v>
      </c>
      <c r="AD269" s="177">
        <v>0</v>
      </c>
      <c r="AE269" s="177">
        <v>0</v>
      </c>
      <c r="AF269" s="177">
        <v>0</v>
      </c>
      <c r="AG269" s="177">
        <v>0</v>
      </c>
      <c r="AH269" s="177">
        <v>0</v>
      </c>
      <c r="AI269" s="123" t="s">
        <v>122</v>
      </c>
      <c r="AJ269" s="123">
        <v>2.5000000000000001E-3</v>
      </c>
      <c r="AK269" s="177" t="s">
        <v>122</v>
      </c>
      <c r="AL269" s="363"/>
      <c r="AM269" s="364"/>
      <c r="AN269" s="365"/>
      <c r="AO269" s="365"/>
    </row>
    <row r="270" spans="1:41">
      <c r="A270" s="226" t="s">
        <v>1222</v>
      </c>
      <c r="B270" s="121" t="s">
        <v>1223</v>
      </c>
      <c r="C270" s="121" t="s">
        <v>1199</v>
      </c>
      <c r="D270" s="121" t="s">
        <v>43</v>
      </c>
      <c r="E270" s="121" t="s">
        <v>44</v>
      </c>
      <c r="F270" s="121" t="s">
        <v>884</v>
      </c>
      <c r="G270" s="121" t="s">
        <v>622</v>
      </c>
      <c r="H270" s="121" t="s">
        <v>45</v>
      </c>
      <c r="I270" s="121" t="s">
        <v>46</v>
      </c>
      <c r="J270" s="177">
        <v>5202377559.7966099</v>
      </c>
      <c r="M270" s="275">
        <v>0.10823323428648379</v>
      </c>
      <c r="N270" s="123">
        <v>5.7099999999999998E-2</v>
      </c>
      <c r="O270" s="229">
        <v>4.8000000000000001E-2</v>
      </c>
      <c r="P270" s="229" t="s">
        <v>608</v>
      </c>
      <c r="Q270" s="229" t="s">
        <v>122</v>
      </c>
      <c r="R270" s="123">
        <v>1E-3</v>
      </c>
      <c r="S270" s="123">
        <v>4.4499999999999998E-2</v>
      </c>
      <c r="T270" s="123">
        <v>9.35E-2</v>
      </c>
      <c r="U270" s="177" t="e">
        <f t="shared" si="9"/>
        <v>#REF!</v>
      </c>
      <c r="V270" s="177">
        <v>10550531</v>
      </c>
      <c r="W270" s="177">
        <v>0</v>
      </c>
      <c r="X270" s="177" t="e">
        <v>#REF!</v>
      </c>
      <c r="Y270" s="177">
        <v>2049093</v>
      </c>
      <c r="Z270" s="177">
        <v>1267714</v>
      </c>
      <c r="AA270" s="177">
        <v>0</v>
      </c>
      <c r="AB270" s="177">
        <v>0</v>
      </c>
      <c r="AC270" s="177">
        <v>0</v>
      </c>
      <c r="AD270" s="177">
        <v>0</v>
      </c>
      <c r="AE270" s="177">
        <v>0</v>
      </c>
      <c r="AF270" s="177">
        <v>0</v>
      </c>
      <c r="AG270" s="177">
        <v>0</v>
      </c>
      <c r="AH270" s="177">
        <v>0</v>
      </c>
      <c r="AI270" s="123" t="s">
        <v>122</v>
      </c>
      <c r="AJ270" s="123">
        <v>2.7000000000000001E-3</v>
      </c>
      <c r="AK270" s="177" t="s">
        <v>122</v>
      </c>
      <c r="AL270" s="363"/>
      <c r="AM270" s="364"/>
      <c r="AN270" s="365"/>
      <c r="AO270" s="365"/>
    </row>
    <row r="271" spans="1:41">
      <c r="A271" s="226" t="s">
        <v>1224</v>
      </c>
      <c r="B271" s="121" t="s">
        <v>1225</v>
      </c>
      <c r="C271" s="121" t="s">
        <v>1199</v>
      </c>
      <c r="D271" s="121" t="s">
        <v>43</v>
      </c>
      <c r="E271" s="121" t="s">
        <v>44</v>
      </c>
      <c r="F271" s="121" t="s">
        <v>884</v>
      </c>
      <c r="G271" s="121" t="s">
        <v>622</v>
      </c>
      <c r="H271" s="121" t="s">
        <v>45</v>
      </c>
      <c r="I271" s="121" t="s">
        <v>46</v>
      </c>
      <c r="J271" s="177">
        <v>5098827371.3962269</v>
      </c>
      <c r="M271" s="275">
        <v>0.16680680270652459</v>
      </c>
      <c r="N271" s="123">
        <v>5.7099999999999998E-2</v>
      </c>
      <c r="O271" s="229">
        <v>4.8000000000000001E-2</v>
      </c>
      <c r="P271" s="229" t="s">
        <v>608</v>
      </c>
      <c r="Q271" s="229" t="s">
        <v>122</v>
      </c>
      <c r="R271" s="123">
        <v>1E-3</v>
      </c>
      <c r="S271" s="123">
        <v>4.4499999999999998E-2</v>
      </c>
      <c r="T271" s="123">
        <v>9.35E-2</v>
      </c>
      <c r="U271" s="177" t="e">
        <f t="shared" si="9"/>
        <v>#REF!</v>
      </c>
      <c r="V271" s="177">
        <v>10323552</v>
      </c>
      <c r="W271" s="177">
        <v>0</v>
      </c>
      <c r="X271" s="177" t="e">
        <v>#REF!</v>
      </c>
      <c r="Y271" s="177">
        <v>2009090</v>
      </c>
      <c r="Z271" s="177">
        <v>1267714</v>
      </c>
      <c r="AA271" s="177">
        <v>0</v>
      </c>
      <c r="AB271" s="177">
        <v>0</v>
      </c>
      <c r="AC271" s="177">
        <v>0</v>
      </c>
      <c r="AD271" s="177">
        <v>0</v>
      </c>
      <c r="AE271" s="177">
        <v>0</v>
      </c>
      <c r="AF271" s="177">
        <v>0</v>
      </c>
      <c r="AG271" s="177">
        <v>0</v>
      </c>
      <c r="AH271" s="177">
        <v>0</v>
      </c>
      <c r="AI271" s="123" t="s">
        <v>122</v>
      </c>
      <c r="AJ271" s="123">
        <v>2.7000000000000001E-3</v>
      </c>
      <c r="AK271" s="177" t="s">
        <v>122</v>
      </c>
      <c r="AL271" s="363"/>
      <c r="AM271" s="364"/>
      <c r="AN271" s="365"/>
      <c r="AO271" s="365"/>
    </row>
    <row r="272" spans="1:41">
      <c r="A272" s="226" t="s">
        <v>1226</v>
      </c>
      <c r="B272" s="121" t="s">
        <v>1227</v>
      </c>
      <c r="C272" s="121" t="s">
        <v>1199</v>
      </c>
      <c r="D272" s="121" t="s">
        <v>43</v>
      </c>
      <c r="E272" s="121" t="s">
        <v>44</v>
      </c>
      <c r="F272" s="121" t="s">
        <v>884</v>
      </c>
      <c r="G272" s="121" t="s">
        <v>622</v>
      </c>
      <c r="H272" s="121" t="s">
        <v>45</v>
      </c>
      <c r="I272" s="121" t="s">
        <v>46</v>
      </c>
      <c r="J272" s="177">
        <v>3242511868.6981134</v>
      </c>
      <c r="M272" s="275">
        <v>0.11106584370570416</v>
      </c>
      <c r="N272" s="123">
        <v>5.7099999999999998E-2</v>
      </c>
      <c r="O272" s="229">
        <v>4.8000000000000001E-2</v>
      </c>
      <c r="P272" s="229" t="s">
        <v>608</v>
      </c>
      <c r="Q272" s="229" t="s">
        <v>122</v>
      </c>
      <c r="R272" s="123">
        <v>1E-3</v>
      </c>
      <c r="S272" s="123">
        <v>4.4499999999999998E-2</v>
      </c>
      <c r="T272" s="123">
        <v>9.35E-2</v>
      </c>
      <c r="U272" s="177" t="e">
        <f t="shared" si="9"/>
        <v>#REF!</v>
      </c>
      <c r="V272" s="177">
        <v>6894834</v>
      </c>
      <c r="W272" s="177">
        <v>0</v>
      </c>
      <c r="X272" s="177" t="e">
        <v>#REF!</v>
      </c>
      <c r="Y272" s="177">
        <v>1341816</v>
      </c>
      <c r="Z272" s="177">
        <v>1267714</v>
      </c>
      <c r="AA272" s="177">
        <v>0</v>
      </c>
      <c r="AB272" s="177">
        <v>0</v>
      </c>
      <c r="AC272" s="177">
        <v>0</v>
      </c>
      <c r="AD272" s="177">
        <v>0</v>
      </c>
      <c r="AE272" s="177">
        <v>0</v>
      </c>
      <c r="AF272" s="177">
        <v>0</v>
      </c>
      <c r="AG272" s="177">
        <v>0</v>
      </c>
      <c r="AH272" s="177">
        <v>0</v>
      </c>
      <c r="AI272" s="123" t="s">
        <v>122</v>
      </c>
      <c r="AJ272" s="123">
        <v>2.8999999999999998E-3</v>
      </c>
      <c r="AK272" s="177" t="s">
        <v>122</v>
      </c>
      <c r="AL272" s="363"/>
      <c r="AM272" s="364"/>
      <c r="AN272" s="365"/>
      <c r="AO272" s="365"/>
    </row>
    <row r="273" spans="1:41">
      <c r="A273" s="226" t="s">
        <v>1228</v>
      </c>
      <c r="B273" s="121" t="s">
        <v>1229</v>
      </c>
      <c r="C273" s="121" t="s">
        <v>1199</v>
      </c>
      <c r="D273" s="121" t="s">
        <v>553</v>
      </c>
      <c r="E273" s="121" t="s">
        <v>621</v>
      </c>
      <c r="F273" s="121" t="s">
        <v>884</v>
      </c>
      <c r="G273" s="121" t="s">
        <v>622</v>
      </c>
      <c r="H273" s="121" t="s">
        <v>45</v>
      </c>
      <c r="I273" s="121" t="s">
        <v>46</v>
      </c>
      <c r="J273" s="177">
        <v>1998665673.003984</v>
      </c>
      <c r="M273" s="275">
        <v>4.9817232520192434E-2</v>
      </c>
      <c r="N273" s="123">
        <v>5.7099999999999998E-2</v>
      </c>
      <c r="O273" s="229">
        <v>0.05</v>
      </c>
      <c r="P273" s="229" t="s">
        <v>608</v>
      </c>
      <c r="Q273" s="229" t="s">
        <v>122</v>
      </c>
      <c r="R273" s="123">
        <v>1E-3</v>
      </c>
      <c r="S273" s="123">
        <v>6.7000000000000004E-2</v>
      </c>
      <c r="T273" s="123">
        <v>0.11800000000000001</v>
      </c>
      <c r="U273" s="177" t="e">
        <f t="shared" si="9"/>
        <v>#REF!</v>
      </c>
      <c r="V273" s="177" t="e">
        <v>#REF!</v>
      </c>
      <c r="W273" s="177">
        <v>0</v>
      </c>
      <c r="X273" s="177" t="e">
        <v>#REF!</v>
      </c>
      <c r="Y273" s="177">
        <v>794496</v>
      </c>
      <c r="Z273" s="177">
        <v>1020064</v>
      </c>
      <c r="AA273" s="177">
        <v>0</v>
      </c>
      <c r="AB273" s="177">
        <v>0</v>
      </c>
      <c r="AC273" s="177">
        <v>0</v>
      </c>
      <c r="AD273" s="177">
        <v>0</v>
      </c>
      <c r="AE273" s="177">
        <v>0</v>
      </c>
      <c r="AF273" s="177">
        <v>0</v>
      </c>
      <c r="AG273" s="177">
        <v>0</v>
      </c>
      <c r="AH273" s="177">
        <v>0</v>
      </c>
      <c r="AI273" s="123" t="s">
        <v>122</v>
      </c>
      <c r="AJ273" s="123">
        <v>3.3999999999999998E-3</v>
      </c>
      <c r="AK273" s="177" t="s">
        <v>122</v>
      </c>
      <c r="AL273" s="363"/>
      <c r="AM273" s="364"/>
      <c r="AN273" s="365"/>
      <c r="AO273" s="365"/>
    </row>
    <row r="274" spans="1:41">
      <c r="A274" s="226" t="s">
        <v>1230</v>
      </c>
      <c r="B274" s="121" t="s">
        <v>1231</v>
      </c>
      <c r="C274" s="121" t="s">
        <v>1199</v>
      </c>
      <c r="D274" s="121" t="s">
        <v>553</v>
      </c>
      <c r="E274" s="121" t="s">
        <v>621</v>
      </c>
      <c r="F274" s="121" t="s">
        <v>884</v>
      </c>
      <c r="G274" s="121" t="s">
        <v>622</v>
      </c>
      <c r="H274" s="121" t="s">
        <v>45</v>
      </c>
      <c r="I274" s="121" t="s">
        <v>46</v>
      </c>
      <c r="J274" s="177">
        <v>4451634775.0199203</v>
      </c>
      <c r="M274" s="275">
        <v>2.5056279025166495E-2</v>
      </c>
      <c r="N274" s="123">
        <v>5.7099999999999998E-2</v>
      </c>
      <c r="O274" s="229">
        <v>0.05</v>
      </c>
      <c r="P274" s="229" t="s">
        <v>608</v>
      </c>
      <c r="Q274" s="229" t="s">
        <v>122</v>
      </c>
      <c r="R274" s="123">
        <v>1E-3</v>
      </c>
      <c r="S274" s="123">
        <v>6.7000000000000004E-2</v>
      </c>
      <c r="T274" s="123">
        <v>0.11800000000000001</v>
      </c>
      <c r="U274" s="177" t="e">
        <f t="shared" si="9"/>
        <v>#REF!</v>
      </c>
      <c r="V274" s="177" t="e">
        <v>#REF!</v>
      </c>
      <c r="W274" s="177">
        <v>0</v>
      </c>
      <c r="X274" s="177" t="e">
        <v>#REF!</v>
      </c>
      <c r="Y274" s="177">
        <v>1846523</v>
      </c>
      <c r="Z274" s="177">
        <v>1020064</v>
      </c>
      <c r="AA274" s="177">
        <v>0</v>
      </c>
      <c r="AB274" s="177">
        <v>0</v>
      </c>
      <c r="AC274" s="177">
        <v>0</v>
      </c>
      <c r="AD274" s="177">
        <v>0</v>
      </c>
      <c r="AE274" s="177">
        <v>0</v>
      </c>
      <c r="AF274" s="177">
        <v>0</v>
      </c>
      <c r="AG274" s="177">
        <v>0</v>
      </c>
      <c r="AH274" s="177">
        <v>0</v>
      </c>
      <c r="AI274" s="123" t="s">
        <v>122</v>
      </c>
      <c r="AJ274" s="123">
        <v>2.7000000000000001E-3</v>
      </c>
      <c r="AK274" s="177" t="s">
        <v>122</v>
      </c>
      <c r="AL274" s="363"/>
      <c r="AM274" s="364"/>
      <c r="AN274" s="365"/>
      <c r="AO274" s="365"/>
    </row>
    <row r="275" spans="1:41">
      <c r="A275" s="226" t="s">
        <v>1232</v>
      </c>
      <c r="B275" s="121" t="s">
        <v>1233</v>
      </c>
      <c r="C275" s="121" t="s">
        <v>1199</v>
      </c>
      <c r="D275" s="121" t="s">
        <v>553</v>
      </c>
      <c r="E275" s="121" t="s">
        <v>621</v>
      </c>
      <c r="F275" s="121" t="s">
        <v>884</v>
      </c>
      <c r="G275" s="121" t="s">
        <v>622</v>
      </c>
      <c r="H275" s="121" t="s">
        <v>45</v>
      </c>
      <c r="I275" s="121" t="s">
        <v>46</v>
      </c>
      <c r="J275" s="177">
        <v>2711667660.4023905</v>
      </c>
      <c r="K275" s="177">
        <v>39290073</v>
      </c>
      <c r="L275" s="366">
        <v>41543</v>
      </c>
      <c r="M275" s="275">
        <v>4.2636266635132092E-2</v>
      </c>
      <c r="N275" s="123">
        <v>5.7099999999999998E-2</v>
      </c>
      <c r="O275" s="229">
        <v>0.05</v>
      </c>
      <c r="P275" s="229" t="s">
        <v>608</v>
      </c>
      <c r="Q275" s="229" t="s">
        <v>122</v>
      </c>
      <c r="R275" s="123">
        <v>1E-3</v>
      </c>
      <c r="S275" s="123">
        <v>6.7000000000000004E-2</v>
      </c>
      <c r="T275" s="123">
        <v>0.11800000000000001</v>
      </c>
      <c r="U275" s="177" t="e">
        <f t="shared" si="9"/>
        <v>#REF!</v>
      </c>
      <c r="V275" s="177" t="e">
        <v>#REF!</v>
      </c>
      <c r="W275" s="177">
        <v>0</v>
      </c>
      <c r="X275" s="177" t="e">
        <v>#REF!</v>
      </c>
      <c r="Y275" s="177">
        <v>1126534</v>
      </c>
      <c r="Z275" s="177">
        <v>1020064</v>
      </c>
      <c r="AA275" s="177">
        <v>0</v>
      </c>
      <c r="AB275" s="177">
        <v>0</v>
      </c>
      <c r="AC275" s="177">
        <v>0</v>
      </c>
      <c r="AD275" s="177">
        <v>0</v>
      </c>
      <c r="AE275" s="177">
        <v>0</v>
      </c>
      <c r="AF275" s="177">
        <v>0</v>
      </c>
      <c r="AG275" s="177">
        <v>0</v>
      </c>
      <c r="AH275" s="177">
        <v>0</v>
      </c>
      <c r="AI275" s="123" t="s">
        <v>122</v>
      </c>
      <c r="AJ275" s="123">
        <v>3.3E-3</v>
      </c>
      <c r="AK275" s="177" t="s">
        <v>122</v>
      </c>
      <c r="AL275" s="363"/>
      <c r="AM275" s="364"/>
      <c r="AN275" s="365"/>
      <c r="AO275" s="365"/>
    </row>
    <row r="276" spans="1:41">
      <c r="A276" s="226" t="s">
        <v>1234</v>
      </c>
      <c r="B276" s="121" t="s">
        <v>1235</v>
      </c>
      <c r="C276" s="121" t="s">
        <v>1199</v>
      </c>
      <c r="D276" s="121" t="s">
        <v>553</v>
      </c>
      <c r="E276" s="121" t="s">
        <v>621</v>
      </c>
      <c r="F276" s="121" t="s">
        <v>884</v>
      </c>
      <c r="G276" s="121" t="s">
        <v>622</v>
      </c>
      <c r="H276" s="121" t="s">
        <v>45</v>
      </c>
      <c r="I276" s="121" t="s">
        <v>46</v>
      </c>
      <c r="J276" s="177">
        <v>1574982715.4860559</v>
      </c>
      <c r="M276" s="275">
        <v>-2.498126025529257E-2</v>
      </c>
      <c r="N276" s="123">
        <v>5.7099999999999998E-2</v>
      </c>
      <c r="O276" s="229">
        <v>0.05</v>
      </c>
      <c r="P276" s="229" t="s">
        <v>608</v>
      </c>
      <c r="Q276" s="229" t="s">
        <v>122</v>
      </c>
      <c r="R276" s="123">
        <v>1E-3</v>
      </c>
      <c r="S276" s="123">
        <v>6.7000000000000004E-2</v>
      </c>
      <c r="T276" s="123">
        <v>0.11800000000000001</v>
      </c>
      <c r="U276" s="177">
        <f t="shared" si="9"/>
        <v>38250800.5</v>
      </c>
      <c r="V276" s="177">
        <v>14374749</v>
      </c>
      <c r="W276" s="177">
        <v>0</v>
      </c>
      <c r="X276" s="177">
        <v>21571276.5</v>
      </c>
      <c r="Y276" s="177">
        <v>1037061</v>
      </c>
      <c r="Z276" s="177">
        <v>1267714</v>
      </c>
      <c r="AA276" s="177">
        <v>0</v>
      </c>
      <c r="AB276" s="177">
        <v>0</v>
      </c>
      <c r="AC276" s="177">
        <v>0</v>
      </c>
      <c r="AD276" s="177">
        <v>0</v>
      </c>
      <c r="AE276" s="177">
        <v>0</v>
      </c>
      <c r="AF276" s="177">
        <v>0</v>
      </c>
      <c r="AG276" s="177">
        <v>0</v>
      </c>
      <c r="AH276" s="177">
        <v>0</v>
      </c>
      <c r="AI276" s="123" t="s">
        <v>122</v>
      </c>
      <c r="AJ276" s="123">
        <v>2.4299999999999999E-2</v>
      </c>
      <c r="AK276" s="177" t="s">
        <v>122</v>
      </c>
      <c r="AL276" s="363"/>
      <c r="AM276" s="364"/>
      <c r="AN276" s="365"/>
      <c r="AO276" s="365"/>
    </row>
    <row r="277" spans="1:41">
      <c r="A277" s="226" t="s">
        <v>1236</v>
      </c>
      <c r="B277" s="121" t="s">
        <v>1237</v>
      </c>
      <c r="C277" s="121" t="s">
        <v>1199</v>
      </c>
      <c r="D277" s="121" t="s">
        <v>553</v>
      </c>
      <c r="E277" s="121" t="s">
        <v>621</v>
      </c>
      <c r="F277" s="121" t="s">
        <v>884</v>
      </c>
      <c r="G277" s="121" t="s">
        <v>622</v>
      </c>
      <c r="H277" s="121" t="s">
        <v>45</v>
      </c>
      <c r="I277" s="121" t="s">
        <v>46</v>
      </c>
      <c r="J277" s="177">
        <v>3636039921.868526</v>
      </c>
      <c r="M277" s="275">
        <v>2.2687534084534944E-2</v>
      </c>
      <c r="N277" s="123">
        <v>5.7099999999999998E-2</v>
      </c>
      <c r="O277" s="229">
        <v>0.05</v>
      </c>
      <c r="P277" s="229" t="s">
        <v>608</v>
      </c>
      <c r="Q277" s="229" t="s">
        <v>122</v>
      </c>
      <c r="R277" s="123">
        <v>1E-3</v>
      </c>
      <c r="S277" s="123">
        <v>6.7000000000000004E-2</v>
      </c>
      <c r="T277" s="123">
        <v>0.11800000000000001</v>
      </c>
      <c r="U277" s="177" t="e">
        <f t="shared" si="9"/>
        <v>#REF!</v>
      </c>
      <c r="V277" s="177" t="e">
        <v>#REF!</v>
      </c>
      <c r="W277" s="177">
        <v>0</v>
      </c>
      <c r="X277" s="177" t="e">
        <v>#REF!</v>
      </c>
      <c r="Y277" s="177">
        <v>1500674</v>
      </c>
      <c r="Z277" s="177">
        <v>1020064</v>
      </c>
      <c r="AA277" s="177">
        <v>0</v>
      </c>
      <c r="AB277" s="177">
        <v>0</v>
      </c>
      <c r="AC277" s="177">
        <v>0</v>
      </c>
      <c r="AD277" s="177">
        <v>0</v>
      </c>
      <c r="AE277" s="177">
        <v>0</v>
      </c>
      <c r="AF277" s="177">
        <v>0</v>
      </c>
      <c r="AG277" s="177">
        <v>0</v>
      </c>
      <c r="AH277" s="177">
        <v>0</v>
      </c>
      <c r="AI277" s="123" t="s">
        <v>122</v>
      </c>
      <c r="AJ277" s="123">
        <v>2.8999999999999998E-3</v>
      </c>
      <c r="AK277" s="177" t="s">
        <v>122</v>
      </c>
      <c r="AL277" s="363"/>
      <c r="AM277" s="364"/>
      <c r="AN277" s="365"/>
      <c r="AO277" s="365"/>
    </row>
    <row r="278" spans="1:41">
      <c r="A278" s="226" t="s">
        <v>1238</v>
      </c>
      <c r="B278" s="121" t="s">
        <v>1239</v>
      </c>
      <c r="C278" s="121" t="s">
        <v>1199</v>
      </c>
      <c r="D278" s="121" t="s">
        <v>43</v>
      </c>
      <c r="E278" s="121" t="s">
        <v>44</v>
      </c>
      <c r="F278" s="121" t="s">
        <v>884</v>
      </c>
      <c r="G278" s="121" t="s">
        <v>622</v>
      </c>
      <c r="H278" s="121" t="s">
        <v>45</v>
      </c>
      <c r="I278" s="121" t="s">
        <v>46</v>
      </c>
      <c r="J278" s="177">
        <v>5024448833.9433966</v>
      </c>
      <c r="M278" s="275">
        <v>2.9174542662046665E-2</v>
      </c>
      <c r="N278" s="123">
        <v>5.7099999999999998E-2</v>
      </c>
      <c r="O278" s="229">
        <v>4.8000000000000001E-2</v>
      </c>
      <c r="P278" s="229" t="s">
        <v>608</v>
      </c>
      <c r="Q278" s="229" t="s">
        <v>122</v>
      </c>
      <c r="R278" s="123">
        <v>1E-3</v>
      </c>
      <c r="S278" s="123">
        <v>4.4499999999999998E-2</v>
      </c>
      <c r="T278" s="123">
        <v>9.35E-2</v>
      </c>
      <c r="U278" s="177" t="e">
        <f t="shared" si="9"/>
        <v>#REF!</v>
      </c>
      <c r="V278" s="177">
        <v>15059849</v>
      </c>
      <c r="W278" s="177">
        <v>0</v>
      </c>
      <c r="X278" s="177" t="e">
        <v>#REF!</v>
      </c>
      <c r="Y278" s="177">
        <v>2931910</v>
      </c>
      <c r="Z278" s="177">
        <v>1267714</v>
      </c>
      <c r="AA278" s="177">
        <v>0</v>
      </c>
      <c r="AB278" s="177">
        <v>0</v>
      </c>
      <c r="AC278" s="177">
        <v>0</v>
      </c>
      <c r="AD278" s="177">
        <v>0</v>
      </c>
      <c r="AE278" s="177">
        <v>0</v>
      </c>
      <c r="AF278" s="177">
        <v>0</v>
      </c>
      <c r="AG278" s="177">
        <v>0</v>
      </c>
      <c r="AH278" s="177">
        <v>0</v>
      </c>
      <c r="AI278" s="123" t="s">
        <v>122</v>
      </c>
      <c r="AJ278" s="123">
        <v>3.8E-3</v>
      </c>
      <c r="AK278" s="177" t="s">
        <v>122</v>
      </c>
      <c r="AL278" s="363"/>
      <c r="AM278" s="364"/>
      <c r="AN278" s="365"/>
      <c r="AO278" s="365"/>
    </row>
    <row r="279" spans="1:41">
      <c r="A279" s="226" t="s">
        <v>1240</v>
      </c>
      <c r="B279" s="121" t="s">
        <v>1241</v>
      </c>
      <c r="C279" s="121" t="s">
        <v>1199</v>
      </c>
      <c r="D279" s="121" t="s">
        <v>553</v>
      </c>
      <c r="E279" s="121" t="s">
        <v>621</v>
      </c>
      <c r="F279" s="121" t="s">
        <v>884</v>
      </c>
      <c r="G279" s="121" t="s">
        <v>622</v>
      </c>
      <c r="H279" s="121" t="s">
        <v>45</v>
      </c>
      <c r="I279" s="121" t="s">
        <v>46</v>
      </c>
      <c r="J279" s="177">
        <v>917675386.79282868</v>
      </c>
      <c r="K279" s="177">
        <v>9471900</v>
      </c>
      <c r="L279" s="366">
        <v>41605</v>
      </c>
      <c r="M279" s="275">
        <v>5.0211747191931444E-2</v>
      </c>
      <c r="N279" s="123">
        <v>5.7099999999999998E-2</v>
      </c>
      <c r="O279" s="229">
        <v>0.05</v>
      </c>
      <c r="P279" s="229" t="s">
        <v>608</v>
      </c>
      <c r="Q279" s="229" t="s">
        <v>122</v>
      </c>
      <c r="R279" s="123">
        <v>1E-3</v>
      </c>
      <c r="S279" s="123">
        <v>6.7000000000000004E-2</v>
      </c>
      <c r="T279" s="123">
        <v>0.11800000000000001</v>
      </c>
      <c r="U279" s="177" t="e">
        <f t="shared" si="9"/>
        <v>#REF!</v>
      </c>
      <c r="V279" s="177" t="e">
        <v>#REF!</v>
      </c>
      <c r="W279" s="177">
        <v>0</v>
      </c>
      <c r="X279" s="177" t="e">
        <v>#REF!</v>
      </c>
      <c r="Y279" s="177">
        <v>381396</v>
      </c>
      <c r="Z279" s="177">
        <v>1020064</v>
      </c>
      <c r="AA279" s="177">
        <v>0</v>
      </c>
      <c r="AB279" s="177">
        <v>0</v>
      </c>
      <c r="AC279" s="177">
        <v>0</v>
      </c>
      <c r="AD279" s="177">
        <v>0</v>
      </c>
      <c r="AE279" s="177">
        <v>0</v>
      </c>
      <c r="AF279" s="177">
        <v>0</v>
      </c>
      <c r="AG279" s="177">
        <v>0</v>
      </c>
      <c r="AH279" s="177">
        <v>0</v>
      </c>
      <c r="AI279" s="123" t="s">
        <v>122</v>
      </c>
      <c r="AJ279" s="123">
        <v>4.3E-3</v>
      </c>
      <c r="AK279" s="177" t="s">
        <v>122</v>
      </c>
      <c r="AL279" s="363"/>
      <c r="AM279" s="364"/>
      <c r="AN279" s="365"/>
      <c r="AO279" s="365"/>
    </row>
    <row r="280" spans="1:41">
      <c r="A280" s="226" t="s">
        <v>1242</v>
      </c>
      <c r="B280" s="121" t="s">
        <v>1243</v>
      </c>
      <c r="C280" s="121" t="s">
        <v>1199</v>
      </c>
      <c r="D280" s="121" t="s">
        <v>553</v>
      </c>
      <c r="E280" s="121" t="s">
        <v>621</v>
      </c>
      <c r="F280" s="121" t="s">
        <v>884</v>
      </c>
      <c r="G280" s="121" t="s">
        <v>622</v>
      </c>
      <c r="H280" s="121" t="s">
        <v>45</v>
      </c>
      <c r="I280" s="121" t="s">
        <v>46</v>
      </c>
      <c r="J280" s="177">
        <v>3236444433.5418324</v>
      </c>
      <c r="K280" s="177">
        <v>199151889</v>
      </c>
      <c r="L280" s="366">
        <v>41628</v>
      </c>
      <c r="M280" s="275">
        <v>6.1741363334436583E-2</v>
      </c>
      <c r="N280" s="123">
        <v>5.7099999999999998E-2</v>
      </c>
      <c r="O280" s="229">
        <v>0.05</v>
      </c>
      <c r="P280" s="229" t="s">
        <v>608</v>
      </c>
      <c r="Q280" s="229" t="s">
        <v>122</v>
      </c>
      <c r="R280" s="123">
        <v>1E-3</v>
      </c>
      <c r="S280" s="123">
        <v>6.7000000000000004E-2</v>
      </c>
      <c r="T280" s="123">
        <v>0.11800000000000001</v>
      </c>
      <c r="U280" s="177" t="e">
        <f t="shared" si="9"/>
        <v>#REF!</v>
      </c>
      <c r="V280" s="177" t="e">
        <v>#REF!</v>
      </c>
      <c r="W280" s="177">
        <v>0</v>
      </c>
      <c r="X280" s="177" t="e">
        <v>#REF!</v>
      </c>
      <c r="Y280" s="177">
        <v>1241935</v>
      </c>
      <c r="Z280" s="177">
        <v>1020064</v>
      </c>
      <c r="AA280" s="177">
        <v>0</v>
      </c>
      <c r="AB280" s="177">
        <v>0</v>
      </c>
      <c r="AC280" s="177">
        <v>0</v>
      </c>
      <c r="AD280" s="177">
        <v>0</v>
      </c>
      <c r="AE280" s="177">
        <v>0</v>
      </c>
      <c r="AF280" s="177">
        <v>0</v>
      </c>
      <c r="AG280" s="177">
        <v>0</v>
      </c>
      <c r="AH280" s="177">
        <v>0</v>
      </c>
      <c r="AI280" s="123" t="s">
        <v>122</v>
      </c>
      <c r="AJ280" s="123">
        <v>3.0999999999999999E-3</v>
      </c>
      <c r="AK280" s="177" t="s">
        <v>122</v>
      </c>
      <c r="AL280" s="363"/>
      <c r="AM280" s="364"/>
      <c r="AN280" s="365"/>
      <c r="AO280" s="365"/>
    </row>
    <row r="281" spans="1:41">
      <c r="A281" s="226" t="s">
        <v>1244</v>
      </c>
      <c r="B281" s="121" t="s">
        <v>1245</v>
      </c>
      <c r="C281" s="121" t="s">
        <v>1199</v>
      </c>
      <c r="D281" s="121" t="s">
        <v>553</v>
      </c>
      <c r="E281" s="121" t="s">
        <v>621</v>
      </c>
      <c r="F281" s="121" t="s">
        <v>884</v>
      </c>
      <c r="G281" s="121" t="s">
        <v>622</v>
      </c>
      <c r="H281" s="121" t="s">
        <v>45</v>
      </c>
      <c r="I281" s="121" t="s">
        <v>46</v>
      </c>
      <c r="J281" s="177">
        <v>4129621896.5936255</v>
      </c>
      <c r="K281" s="177">
        <v>125156400</v>
      </c>
      <c r="L281" s="366">
        <v>41423</v>
      </c>
      <c r="M281" s="275">
        <v>2.8013271218189528E-2</v>
      </c>
      <c r="N281" s="123">
        <v>5.7099999999999998E-2</v>
      </c>
      <c r="O281" s="229">
        <v>0.05</v>
      </c>
      <c r="P281" s="229" t="s">
        <v>608</v>
      </c>
      <c r="Q281" s="229" t="s">
        <v>122</v>
      </c>
      <c r="R281" s="123">
        <v>1E-3</v>
      </c>
      <c r="S281" s="123">
        <v>6.7000000000000004E-2</v>
      </c>
      <c r="T281" s="123">
        <v>0.11800000000000001</v>
      </c>
      <c r="U281" s="177" t="e">
        <f t="shared" si="9"/>
        <v>#REF!</v>
      </c>
      <c r="V281" s="177" t="e">
        <v>#REF!</v>
      </c>
      <c r="W281" s="177">
        <v>0</v>
      </c>
      <c r="X281" s="177" t="e">
        <v>#REF!</v>
      </c>
      <c r="Y281" s="177">
        <v>1701878</v>
      </c>
      <c r="Z281" s="177">
        <v>1020064</v>
      </c>
      <c r="AA281" s="177">
        <v>0</v>
      </c>
      <c r="AB281" s="177">
        <v>0</v>
      </c>
      <c r="AC281" s="177">
        <v>0</v>
      </c>
      <c r="AD281" s="177">
        <v>0</v>
      </c>
      <c r="AE281" s="177">
        <v>0</v>
      </c>
      <c r="AF281" s="177">
        <v>0</v>
      </c>
      <c r="AG281" s="177">
        <v>0</v>
      </c>
      <c r="AH281" s="177">
        <v>0</v>
      </c>
      <c r="AI281" s="123" t="s">
        <v>122</v>
      </c>
      <c r="AJ281" s="123">
        <v>3.3E-3</v>
      </c>
      <c r="AK281" s="177" t="s">
        <v>122</v>
      </c>
      <c r="AL281" s="363"/>
      <c r="AM281" s="364"/>
      <c r="AN281" s="365"/>
      <c r="AO281" s="365"/>
    </row>
    <row r="282" spans="1:41">
      <c r="A282" s="226" t="s">
        <v>1246</v>
      </c>
      <c r="B282" s="121" t="s">
        <v>1247</v>
      </c>
      <c r="C282" s="121" t="s">
        <v>1199</v>
      </c>
      <c r="D282" s="121" t="s">
        <v>43</v>
      </c>
      <c r="E282" s="121" t="s">
        <v>44</v>
      </c>
      <c r="F282" s="121" t="s">
        <v>884</v>
      </c>
      <c r="G282" s="121" t="s">
        <v>622</v>
      </c>
      <c r="H282" s="121" t="s">
        <v>62</v>
      </c>
      <c r="I282" s="121" t="s">
        <v>69</v>
      </c>
      <c r="J282" s="177">
        <v>8533571.5334528331</v>
      </c>
      <c r="M282" s="275">
        <v>-1.2543708207609194E-2</v>
      </c>
      <c r="N282" s="123">
        <v>9.0700000000000003E-2</v>
      </c>
      <c r="O282" s="229">
        <v>4.8000000000000001E-2</v>
      </c>
      <c r="P282" s="229" t="s">
        <v>608</v>
      </c>
      <c r="Q282" s="229" t="s">
        <v>122</v>
      </c>
      <c r="R282" s="123">
        <v>1E-3</v>
      </c>
      <c r="S282" s="123">
        <v>4.4499999999999998E-2</v>
      </c>
      <c r="T282" s="123">
        <v>9.35E-2</v>
      </c>
      <c r="U282" s="177">
        <f t="shared" si="9"/>
        <v>29220.1</v>
      </c>
      <c r="V282" s="177">
        <v>19894.28</v>
      </c>
      <c r="W282" s="177">
        <v>0</v>
      </c>
      <c r="X282" s="177">
        <v>698.41</v>
      </c>
      <c r="Y282" s="177">
        <v>3864.91</v>
      </c>
      <c r="Z282" s="177">
        <v>4762.5</v>
      </c>
      <c r="AA282" s="177">
        <v>0</v>
      </c>
      <c r="AB282" s="177">
        <v>0</v>
      </c>
      <c r="AC282" s="177">
        <v>0</v>
      </c>
      <c r="AD282" s="177">
        <v>0</v>
      </c>
      <c r="AE282" s="177">
        <v>0</v>
      </c>
      <c r="AF282" s="177">
        <v>0</v>
      </c>
      <c r="AG282" s="177">
        <v>0</v>
      </c>
      <c r="AH282" s="177">
        <v>0</v>
      </c>
      <c r="AI282" s="123" t="s">
        <v>122</v>
      </c>
      <c r="AJ282" s="123">
        <v>3.3999999999999998E-3</v>
      </c>
      <c r="AK282" s="177" t="s">
        <v>122</v>
      </c>
      <c r="AL282" s="363"/>
      <c r="AM282" s="364"/>
      <c r="AN282" s="365"/>
      <c r="AO282" s="365"/>
    </row>
    <row r="283" spans="1:41">
      <c r="A283" s="226" t="s">
        <v>1248</v>
      </c>
      <c r="B283" s="121" t="s">
        <v>1249</v>
      </c>
      <c r="C283" s="121" t="s">
        <v>1199</v>
      </c>
      <c r="D283" s="121" t="s">
        <v>43</v>
      </c>
      <c r="E283" s="121" t="s">
        <v>44</v>
      </c>
      <c r="F283" s="121" t="s">
        <v>884</v>
      </c>
      <c r="G283" s="121" t="s">
        <v>622</v>
      </c>
      <c r="H283" s="121" t="s">
        <v>45</v>
      </c>
      <c r="I283" s="121" t="s">
        <v>46</v>
      </c>
      <c r="J283" s="177">
        <v>1534797196.9433963</v>
      </c>
      <c r="M283" s="275">
        <v>4.9704587690541535E-2</v>
      </c>
      <c r="N283" s="123">
        <v>5.7099999999999998E-2</v>
      </c>
      <c r="O283" s="229">
        <v>4.8000000000000001E-2</v>
      </c>
      <c r="P283" s="229" t="s">
        <v>608</v>
      </c>
      <c r="Q283" s="229" t="s">
        <v>122</v>
      </c>
      <c r="R283" s="123">
        <v>1E-3</v>
      </c>
      <c r="S283" s="123">
        <v>4.4499999999999998E-2</v>
      </c>
      <c r="T283" s="123">
        <v>9.35E-2</v>
      </c>
      <c r="U283" s="177" t="e">
        <f t="shared" si="9"/>
        <v>#REF!</v>
      </c>
      <c r="V283" s="177">
        <v>3655267</v>
      </c>
      <c r="W283" s="177">
        <v>0</v>
      </c>
      <c r="X283" s="177" t="e">
        <v>#REF!</v>
      </c>
      <c r="Y283" s="177">
        <v>700027</v>
      </c>
      <c r="Z283" s="177">
        <v>1267714</v>
      </c>
      <c r="AA283" s="177">
        <v>0</v>
      </c>
      <c r="AB283" s="177">
        <v>0</v>
      </c>
      <c r="AC283" s="177">
        <v>0</v>
      </c>
      <c r="AD283" s="177">
        <v>0</v>
      </c>
      <c r="AE283" s="177">
        <v>0</v>
      </c>
      <c r="AF283" s="177">
        <v>0</v>
      </c>
      <c r="AG283" s="177">
        <v>0</v>
      </c>
      <c r="AH283" s="177">
        <v>0</v>
      </c>
      <c r="AI283" s="123" t="s">
        <v>122</v>
      </c>
      <c r="AJ283" s="123">
        <v>3.7000000000000002E-3</v>
      </c>
      <c r="AK283" s="177" t="s">
        <v>122</v>
      </c>
      <c r="AL283" s="363"/>
      <c r="AM283" s="364"/>
      <c r="AN283" s="365"/>
      <c r="AO283" s="365"/>
    </row>
    <row r="284" spans="1:41">
      <c r="A284" s="226" t="s">
        <v>1250</v>
      </c>
      <c r="B284" s="121" t="s">
        <v>1251</v>
      </c>
      <c r="C284" s="121" t="s">
        <v>1199</v>
      </c>
      <c r="D284" s="121" t="s">
        <v>553</v>
      </c>
      <c r="E284" s="121" t="s">
        <v>621</v>
      </c>
      <c r="F284" s="121" t="s">
        <v>884</v>
      </c>
      <c r="G284" s="121" t="s">
        <v>622</v>
      </c>
      <c r="H284" s="121" t="s">
        <v>45</v>
      </c>
      <c r="I284" s="121" t="s">
        <v>46</v>
      </c>
      <c r="J284" s="177">
        <v>9545733225.270916</v>
      </c>
      <c r="M284" s="275">
        <v>0.19559874743373196</v>
      </c>
      <c r="N284" s="123">
        <v>5.7099999999999998E-2</v>
      </c>
      <c r="O284" s="229">
        <v>0.05</v>
      </c>
      <c r="P284" s="229" t="s">
        <v>608</v>
      </c>
      <c r="Q284" s="229" t="s">
        <v>122</v>
      </c>
      <c r="R284" s="123">
        <v>1E-3</v>
      </c>
      <c r="S284" s="123">
        <v>6.7000000000000004E-2</v>
      </c>
      <c r="T284" s="123">
        <v>0.11800000000000001</v>
      </c>
      <c r="U284" s="177" t="e">
        <f t="shared" si="9"/>
        <v>#REF!</v>
      </c>
      <c r="V284" s="177" t="e">
        <v>#REF!</v>
      </c>
      <c r="W284" s="177">
        <v>0</v>
      </c>
      <c r="X284" s="177" t="e">
        <v>#REF!</v>
      </c>
      <c r="Y284" s="177">
        <v>3327768</v>
      </c>
      <c r="Z284" s="177">
        <v>1020064</v>
      </c>
      <c r="AA284" s="177">
        <v>0</v>
      </c>
      <c r="AB284" s="177">
        <v>0</v>
      </c>
      <c r="AC284" s="177">
        <v>0</v>
      </c>
      <c r="AD284" s="177">
        <v>0</v>
      </c>
      <c r="AE284" s="177">
        <v>0</v>
      </c>
      <c r="AF284" s="177">
        <v>0</v>
      </c>
      <c r="AG284" s="177">
        <v>0</v>
      </c>
      <c r="AH284" s="177">
        <v>0</v>
      </c>
      <c r="AI284" s="123" t="s">
        <v>122</v>
      </c>
      <c r="AJ284" s="123">
        <v>2.5999999999999999E-3</v>
      </c>
      <c r="AK284" s="177" t="s">
        <v>122</v>
      </c>
      <c r="AL284" s="363"/>
      <c r="AM284" s="364"/>
      <c r="AN284" s="365"/>
      <c r="AO284" s="365"/>
    </row>
    <row r="285" spans="1:41">
      <c r="A285" s="226" t="s">
        <v>1252</v>
      </c>
      <c r="B285" s="121" t="s">
        <v>1253</v>
      </c>
      <c r="C285" s="121" t="s">
        <v>1199</v>
      </c>
      <c r="D285" s="121" t="s">
        <v>553</v>
      </c>
      <c r="E285" s="121" t="s">
        <v>621</v>
      </c>
      <c r="F285" s="121" t="s">
        <v>884</v>
      </c>
      <c r="G285" s="121" t="s">
        <v>622</v>
      </c>
      <c r="H285" s="121" t="s">
        <v>45</v>
      </c>
      <c r="I285" s="121" t="s">
        <v>46</v>
      </c>
      <c r="J285" s="177">
        <v>3043437902.5258965</v>
      </c>
      <c r="M285" s="275">
        <v>0.17496497148670476</v>
      </c>
      <c r="N285" s="123">
        <v>5.7099999999999998E-2</v>
      </c>
      <c r="O285" s="229">
        <v>0.05</v>
      </c>
      <c r="P285" s="229" t="s">
        <v>608</v>
      </c>
      <c r="Q285" s="229" t="s">
        <v>122</v>
      </c>
      <c r="R285" s="123">
        <v>1E-3</v>
      </c>
      <c r="S285" s="123">
        <v>6.7000000000000004E-2</v>
      </c>
      <c r="T285" s="123">
        <v>0.11800000000000001</v>
      </c>
      <c r="U285" s="177" t="e">
        <f t="shared" si="9"/>
        <v>#REF!</v>
      </c>
      <c r="V285" s="177" t="e">
        <v>#REF!</v>
      </c>
      <c r="W285" s="177">
        <v>0</v>
      </c>
      <c r="X285" s="177" t="e">
        <v>#REF!</v>
      </c>
      <c r="Y285" s="177">
        <v>1069032</v>
      </c>
      <c r="Z285" s="177">
        <v>1020064</v>
      </c>
      <c r="AA285" s="177">
        <v>0</v>
      </c>
      <c r="AB285" s="177">
        <v>0</v>
      </c>
      <c r="AC285" s="177">
        <v>0</v>
      </c>
      <c r="AD285" s="177">
        <v>0</v>
      </c>
      <c r="AE285" s="177">
        <v>0</v>
      </c>
      <c r="AF285" s="177">
        <v>0</v>
      </c>
      <c r="AG285" s="177">
        <v>0</v>
      </c>
      <c r="AH285" s="177">
        <v>0</v>
      </c>
      <c r="AI285" s="123" t="s">
        <v>122</v>
      </c>
      <c r="AJ285" s="123">
        <v>2.8999999999999998E-3</v>
      </c>
      <c r="AK285" s="177" t="s">
        <v>122</v>
      </c>
      <c r="AL285" s="363"/>
      <c r="AM285" s="364"/>
      <c r="AN285" s="365"/>
      <c r="AO285" s="365"/>
    </row>
    <row r="286" spans="1:41">
      <c r="A286" s="226" t="s">
        <v>1254</v>
      </c>
      <c r="B286" s="121" t="s">
        <v>1255</v>
      </c>
      <c r="C286" s="121" t="s">
        <v>1199</v>
      </c>
      <c r="D286" s="121" t="s">
        <v>553</v>
      </c>
      <c r="E286" s="121" t="s">
        <v>621</v>
      </c>
      <c r="F286" s="121" t="s">
        <v>884</v>
      </c>
      <c r="G286" s="121" t="s">
        <v>622</v>
      </c>
      <c r="H286" s="121" t="s">
        <v>45</v>
      </c>
      <c r="I286" s="121" t="s">
        <v>46</v>
      </c>
      <c r="J286" s="177">
        <v>1226156197.4741037</v>
      </c>
      <c r="K286" s="177">
        <v>99807300</v>
      </c>
      <c r="L286" s="366">
        <v>41542</v>
      </c>
      <c r="M286" s="275">
        <v>-2.6389805811024014E-2</v>
      </c>
      <c r="N286" s="123">
        <v>5.7099999999999998E-2</v>
      </c>
      <c r="O286" s="229">
        <v>0.05</v>
      </c>
      <c r="P286" s="229" t="s">
        <v>608</v>
      </c>
      <c r="Q286" s="229" t="s">
        <v>122</v>
      </c>
      <c r="R286" s="123">
        <v>1E-3</v>
      </c>
      <c r="S286" s="123">
        <v>6.7000000000000004E-2</v>
      </c>
      <c r="T286" s="123">
        <v>0.11800000000000001</v>
      </c>
      <c r="U286" s="177" t="e">
        <f t="shared" si="9"/>
        <v>#REF!</v>
      </c>
      <c r="V286" s="177" t="e">
        <v>#REF!</v>
      </c>
      <c r="W286" s="177">
        <v>0</v>
      </c>
      <c r="X286" s="177" t="e">
        <v>#REF!</v>
      </c>
      <c r="Y286" s="177">
        <v>446419</v>
      </c>
      <c r="Z286" s="177">
        <v>1020064</v>
      </c>
      <c r="AA286" s="177">
        <v>0</v>
      </c>
      <c r="AB286" s="177">
        <v>0</v>
      </c>
      <c r="AC286" s="177">
        <v>0</v>
      </c>
      <c r="AD286" s="177">
        <v>0</v>
      </c>
      <c r="AE286" s="177">
        <v>0</v>
      </c>
      <c r="AF286" s="177">
        <v>0</v>
      </c>
      <c r="AG286" s="177">
        <v>0</v>
      </c>
      <c r="AH286" s="177">
        <v>0</v>
      </c>
      <c r="AI286" s="123" t="s">
        <v>122</v>
      </c>
      <c r="AJ286" s="123">
        <v>3.5000000000000001E-3</v>
      </c>
      <c r="AK286" s="177" t="s">
        <v>122</v>
      </c>
      <c r="AL286" s="363"/>
      <c r="AM286" s="364"/>
      <c r="AN286" s="365"/>
      <c r="AO286" s="365"/>
    </row>
    <row r="287" spans="1:41">
      <c r="A287" s="226" t="s">
        <v>1256</v>
      </c>
      <c r="B287" s="121" t="s">
        <v>1257</v>
      </c>
      <c r="C287" s="121" t="s">
        <v>1199</v>
      </c>
      <c r="D287" s="121" t="s">
        <v>43</v>
      </c>
      <c r="E287" s="121" t="s">
        <v>44</v>
      </c>
      <c r="F287" s="121" t="s">
        <v>55</v>
      </c>
      <c r="G287" s="121" t="s">
        <v>58</v>
      </c>
      <c r="H287" s="121" t="s">
        <v>62</v>
      </c>
      <c r="I287" s="121" t="s">
        <v>46</v>
      </c>
      <c r="J287" s="177">
        <v>4088118023.5555553</v>
      </c>
      <c r="M287" s="275">
        <v>1.8849161789926683E-2</v>
      </c>
      <c r="N287" s="123">
        <v>-3.9399999999999998E-2</v>
      </c>
      <c r="O287" s="229">
        <v>8.0000000000000002E-3</v>
      </c>
      <c r="P287" s="229" t="s">
        <v>608</v>
      </c>
      <c r="Q287" s="229" t="s">
        <v>122</v>
      </c>
      <c r="R287" s="123">
        <v>1E-3</v>
      </c>
      <c r="S287" s="123">
        <v>1.2999999999999999E-2</v>
      </c>
      <c r="T287" s="123">
        <v>2.1999999999999999E-2</v>
      </c>
      <c r="U287" s="177">
        <f t="shared" si="9"/>
        <v>89723694.371186212</v>
      </c>
      <c r="V287" s="177">
        <v>32473671</v>
      </c>
      <c r="W287" s="177">
        <v>0</v>
      </c>
      <c r="X287" s="177">
        <v>51444754.371186212</v>
      </c>
      <c r="Y287" s="177">
        <v>3290659</v>
      </c>
      <c r="Z287" s="177">
        <v>1517650</v>
      </c>
      <c r="AA287" s="177">
        <v>960000</v>
      </c>
      <c r="AB287" s="177">
        <v>0</v>
      </c>
      <c r="AC287" s="177">
        <v>0</v>
      </c>
      <c r="AD287" s="177">
        <v>0</v>
      </c>
      <c r="AE287" s="177">
        <v>0</v>
      </c>
      <c r="AF287" s="177">
        <v>36960</v>
      </c>
      <c r="AG287" s="177">
        <v>0</v>
      </c>
      <c r="AH287" s="177">
        <v>0</v>
      </c>
      <c r="AI287" s="123">
        <v>1.41E-2</v>
      </c>
      <c r="AJ287" s="123">
        <v>3.3399999999999999E-2</v>
      </c>
      <c r="AK287" s="177">
        <v>11775005.6301891</v>
      </c>
      <c r="AL287" s="363"/>
      <c r="AM287" s="364"/>
      <c r="AN287" s="365"/>
      <c r="AO287" s="365"/>
    </row>
    <row r="288" spans="1:41">
      <c r="A288" s="226" t="s">
        <v>1258</v>
      </c>
      <c r="B288" s="121" t="s">
        <v>1259</v>
      </c>
      <c r="C288" s="121" t="s">
        <v>1199</v>
      </c>
      <c r="D288" s="121" t="s">
        <v>43</v>
      </c>
      <c r="E288" s="121" t="s">
        <v>44</v>
      </c>
      <c r="F288" s="121" t="s">
        <v>884</v>
      </c>
      <c r="G288" s="121" t="s">
        <v>622</v>
      </c>
      <c r="H288" s="121" t="s">
        <v>62</v>
      </c>
      <c r="I288" s="121" t="s">
        <v>239</v>
      </c>
      <c r="J288" s="177">
        <v>12077385.271698114</v>
      </c>
      <c r="M288" s="275">
        <v>-4.0625407180221007E-2</v>
      </c>
      <c r="N288" s="123">
        <v>1.9E-3</v>
      </c>
      <c r="O288" s="229">
        <v>4.8000000000000001E-2</v>
      </c>
      <c r="P288" s="229" t="s">
        <v>608</v>
      </c>
      <c r="Q288" s="229" t="s">
        <v>122</v>
      </c>
      <c r="R288" s="123">
        <v>1E-3</v>
      </c>
      <c r="S288" s="123">
        <v>4.4499999999999998E-2</v>
      </c>
      <c r="T288" s="123">
        <v>9.35E-2</v>
      </c>
      <c r="U288" s="177">
        <f t="shared" si="9"/>
        <v>46821.56</v>
      </c>
      <c r="V288" s="177">
        <v>27508.15</v>
      </c>
      <c r="W288" s="177">
        <v>0</v>
      </c>
      <c r="X288" s="177">
        <v>7094.63</v>
      </c>
      <c r="Y288" s="177">
        <v>5360.78</v>
      </c>
      <c r="Z288" s="177">
        <v>6858</v>
      </c>
      <c r="AA288" s="177">
        <v>0</v>
      </c>
      <c r="AB288" s="177">
        <v>0</v>
      </c>
      <c r="AC288" s="177">
        <v>0</v>
      </c>
      <c r="AD288" s="177">
        <v>0</v>
      </c>
      <c r="AE288" s="177">
        <v>0</v>
      </c>
      <c r="AF288" s="177">
        <v>0</v>
      </c>
      <c r="AG288" s="177">
        <v>0</v>
      </c>
      <c r="AH288" s="177">
        <v>0</v>
      </c>
      <c r="AI288" s="123" t="s">
        <v>122</v>
      </c>
      <c r="AJ288" s="123">
        <v>3.8999999999999998E-3</v>
      </c>
      <c r="AK288" s="177" t="s">
        <v>122</v>
      </c>
      <c r="AL288" s="363"/>
      <c r="AM288" s="364"/>
      <c r="AN288" s="365"/>
      <c r="AO288" s="365"/>
    </row>
    <row r="289" spans="1:41">
      <c r="A289" s="226" t="s">
        <v>1260</v>
      </c>
      <c r="B289" s="121" t="s">
        <v>1261</v>
      </c>
      <c r="C289" s="121" t="s">
        <v>1199</v>
      </c>
      <c r="D289" s="121" t="s">
        <v>43</v>
      </c>
      <c r="E289" s="121" t="s">
        <v>44</v>
      </c>
      <c r="F289" s="121" t="s">
        <v>884</v>
      </c>
      <c r="G289" s="121" t="s">
        <v>622</v>
      </c>
      <c r="H289" s="121" t="s">
        <v>62</v>
      </c>
      <c r="I289" s="121" t="s">
        <v>69</v>
      </c>
      <c r="J289" s="177">
        <v>9570296.2758490536</v>
      </c>
      <c r="M289" s="275">
        <v>-9.2280968459964585E-3</v>
      </c>
      <c r="N289" s="123">
        <v>9.0700000000000003E-2</v>
      </c>
      <c r="O289" s="229">
        <v>4.8000000000000001E-2</v>
      </c>
      <c r="P289" s="229" t="s">
        <v>608</v>
      </c>
      <c r="Q289" s="229" t="s">
        <v>122</v>
      </c>
      <c r="R289" s="123">
        <v>1E-3</v>
      </c>
      <c r="S289" s="123">
        <v>4.4499999999999998E-2</v>
      </c>
      <c r="T289" s="123">
        <v>9.35E-2</v>
      </c>
      <c r="U289" s="177">
        <f t="shared" si="9"/>
        <v>39122.559999999998</v>
      </c>
      <c r="V289" s="177">
        <v>22718.07</v>
      </c>
      <c r="W289" s="177">
        <v>0</v>
      </c>
      <c r="X289" s="177">
        <v>7208.75</v>
      </c>
      <c r="Y289" s="177">
        <v>4433.24</v>
      </c>
      <c r="Z289" s="177">
        <v>4762.5</v>
      </c>
      <c r="AA289" s="177">
        <v>0</v>
      </c>
      <c r="AB289" s="177">
        <v>0</v>
      </c>
      <c r="AC289" s="177">
        <v>0</v>
      </c>
      <c r="AD289" s="177">
        <v>0</v>
      </c>
      <c r="AE289" s="177">
        <v>0</v>
      </c>
      <c r="AF289" s="177">
        <v>0</v>
      </c>
      <c r="AG289" s="177">
        <v>0</v>
      </c>
      <c r="AH289" s="177">
        <v>0</v>
      </c>
      <c r="AI289" s="123" t="s">
        <v>122</v>
      </c>
      <c r="AJ289" s="123">
        <v>4.1000000000000003E-3</v>
      </c>
      <c r="AK289" s="177" t="s">
        <v>122</v>
      </c>
      <c r="AL289" s="363"/>
      <c r="AM289" s="364"/>
      <c r="AN289" s="365"/>
      <c r="AO289" s="365"/>
    </row>
    <row r="290" spans="1:41">
      <c r="A290" s="226" t="s">
        <v>1262</v>
      </c>
      <c r="B290" s="121" t="s">
        <v>1263</v>
      </c>
      <c r="C290" s="121" t="s">
        <v>1199</v>
      </c>
      <c r="D290" s="121" t="s">
        <v>43</v>
      </c>
      <c r="E290" s="121" t="s">
        <v>44</v>
      </c>
      <c r="F290" s="121" t="s">
        <v>884</v>
      </c>
      <c r="G290" s="121" t="s">
        <v>622</v>
      </c>
      <c r="H290" s="121" t="s">
        <v>45</v>
      </c>
      <c r="I290" s="121" t="s">
        <v>46</v>
      </c>
      <c r="J290" s="177">
        <v>1841623234.3396227</v>
      </c>
      <c r="M290" s="275">
        <v>6.357282335608927E-2</v>
      </c>
      <c r="N290" s="123">
        <v>5.7099999999999998E-2</v>
      </c>
      <c r="O290" s="229">
        <v>4.8000000000000001E-2</v>
      </c>
      <c r="P290" s="229" t="s">
        <v>608</v>
      </c>
      <c r="Q290" s="229" t="s">
        <v>122</v>
      </c>
      <c r="R290" s="123">
        <v>1E-3</v>
      </c>
      <c r="S290" s="123">
        <v>4.4499999999999998E-2</v>
      </c>
      <c r="T290" s="123">
        <v>9.35E-2</v>
      </c>
      <c r="U290" s="177">
        <f t="shared" si="9"/>
        <v>9490479</v>
      </c>
      <c r="V290" s="177">
        <v>4247142</v>
      </c>
      <c r="W290" s="177">
        <v>0</v>
      </c>
      <c r="X290" s="177">
        <v>3148548</v>
      </c>
      <c r="Y290" s="177">
        <v>827075</v>
      </c>
      <c r="Z290" s="177">
        <v>1267714</v>
      </c>
      <c r="AA290" s="177">
        <v>0</v>
      </c>
      <c r="AB290" s="177">
        <v>0</v>
      </c>
      <c r="AC290" s="177">
        <v>0</v>
      </c>
      <c r="AD290" s="177">
        <v>0</v>
      </c>
      <c r="AE290" s="177">
        <v>0</v>
      </c>
      <c r="AF290" s="177">
        <v>0</v>
      </c>
      <c r="AG290" s="177">
        <v>0</v>
      </c>
      <c r="AH290" s="177">
        <v>0</v>
      </c>
      <c r="AI290" s="123" t="s">
        <v>122</v>
      </c>
      <c r="AJ290" s="123">
        <v>5.1999999999999998E-3</v>
      </c>
      <c r="AK290" s="177" t="s">
        <v>122</v>
      </c>
      <c r="AL290" s="363"/>
      <c r="AM290" s="364"/>
      <c r="AN290" s="365"/>
      <c r="AO290" s="365"/>
    </row>
    <row r="291" spans="1:41">
      <c r="A291" s="226" t="s">
        <v>1264</v>
      </c>
      <c r="B291" s="121" t="s">
        <v>1265</v>
      </c>
      <c r="C291" s="121" t="s">
        <v>1199</v>
      </c>
      <c r="D291" s="121" t="s">
        <v>43</v>
      </c>
      <c r="E291" s="121" t="s">
        <v>44</v>
      </c>
      <c r="F291" s="121" t="s">
        <v>1348</v>
      </c>
      <c r="G291" s="121" t="s">
        <v>48</v>
      </c>
      <c r="H291" s="121" t="s">
        <v>45</v>
      </c>
      <c r="I291" s="121" t="s">
        <v>46</v>
      </c>
      <c r="J291" s="177">
        <v>13746055169.229839</v>
      </c>
      <c r="M291" s="275">
        <v>8.6028368857711479E-2</v>
      </c>
      <c r="N291" s="123">
        <v>0.1003</v>
      </c>
      <c r="O291" s="229">
        <v>5.4999999999999997E-3</v>
      </c>
      <c r="P291" s="229" t="s">
        <v>608</v>
      </c>
      <c r="Q291" s="229" t="s">
        <v>122</v>
      </c>
      <c r="R291" s="123">
        <v>1E-3</v>
      </c>
      <c r="S291" s="123">
        <v>0.01</v>
      </c>
      <c r="T291" s="123">
        <v>1.6500000000000001E-2</v>
      </c>
      <c r="U291" s="177">
        <f t="shared" si="9"/>
        <v>166229925.88471788</v>
      </c>
      <c r="V291" s="177">
        <v>55322244</v>
      </c>
      <c r="W291" s="177">
        <v>0</v>
      </c>
      <c r="X291" s="177">
        <v>94006893.884717882</v>
      </c>
      <c r="Y291" s="177">
        <v>11064436</v>
      </c>
      <c r="Z291" s="177">
        <v>2283460</v>
      </c>
      <c r="AA291" s="177">
        <v>3457000</v>
      </c>
      <c r="AB291" s="177">
        <v>0</v>
      </c>
      <c r="AC291" s="177">
        <v>0</v>
      </c>
      <c r="AD291" s="177">
        <v>0</v>
      </c>
      <c r="AE291" s="177">
        <v>0</v>
      </c>
      <c r="AF291" s="177">
        <v>95892</v>
      </c>
      <c r="AG291" s="177">
        <v>0</v>
      </c>
      <c r="AH291" s="177">
        <v>0</v>
      </c>
      <c r="AI291" s="123" t="s">
        <v>122</v>
      </c>
      <c r="AJ291" s="123">
        <v>1.21E-2</v>
      </c>
      <c r="AK291" s="177" t="s">
        <v>122</v>
      </c>
      <c r="AL291" s="363"/>
      <c r="AM291" s="364"/>
      <c r="AN291" s="365"/>
      <c r="AO291" s="365"/>
    </row>
    <row r="292" spans="1:41">
      <c r="A292" s="226" t="s">
        <v>1266</v>
      </c>
      <c r="B292" s="121" t="s">
        <v>1267</v>
      </c>
      <c r="C292" s="121" t="s">
        <v>1199</v>
      </c>
      <c r="D292" s="121" t="s">
        <v>43</v>
      </c>
      <c r="E292" s="121" t="s">
        <v>44</v>
      </c>
      <c r="F292" s="121" t="s">
        <v>1349</v>
      </c>
      <c r="G292" s="121" t="s">
        <v>58</v>
      </c>
      <c r="H292" s="121" t="s">
        <v>45</v>
      </c>
      <c r="I292" s="121" t="s">
        <v>46</v>
      </c>
      <c r="J292" s="177">
        <v>2406419702.9268293</v>
      </c>
      <c r="M292" s="275">
        <v>6.6909694984085277E-4</v>
      </c>
      <c r="N292" s="123">
        <v>2.1499999999999998E-2</v>
      </c>
      <c r="O292" s="229">
        <v>8.0000000000000002E-3</v>
      </c>
      <c r="P292" s="229" t="s">
        <v>608</v>
      </c>
      <c r="Q292" s="229" t="s">
        <v>122</v>
      </c>
      <c r="R292" s="123">
        <v>1E-3</v>
      </c>
      <c r="S292" s="123">
        <v>1.2999999999999999E-2</v>
      </c>
      <c r="T292" s="123">
        <v>2.1999999999999999E-2</v>
      </c>
      <c r="U292" s="177">
        <f t="shared" si="9"/>
        <v>53171386.389880449</v>
      </c>
      <c r="V292" s="177">
        <v>16380136</v>
      </c>
      <c r="W292" s="177">
        <v>0</v>
      </c>
      <c r="X292" s="177">
        <v>26703140.389880449</v>
      </c>
      <c r="Y292" s="177">
        <v>1927091</v>
      </c>
      <c r="Z292" s="177">
        <v>2150110</v>
      </c>
      <c r="AA292" s="177">
        <v>562000</v>
      </c>
      <c r="AB292" s="177">
        <v>0</v>
      </c>
      <c r="AC292" s="177">
        <v>0</v>
      </c>
      <c r="AD292" s="177">
        <v>5431899</v>
      </c>
      <c r="AE292" s="177">
        <v>0</v>
      </c>
      <c r="AF292" s="177">
        <v>17010</v>
      </c>
      <c r="AG292" s="177">
        <v>0</v>
      </c>
      <c r="AH292" s="177">
        <v>0</v>
      </c>
      <c r="AI292" s="123" t="s">
        <v>122</v>
      </c>
      <c r="AJ292" s="123">
        <v>1.9800000000000002E-2</v>
      </c>
      <c r="AK292" s="177" t="s">
        <v>122</v>
      </c>
      <c r="AL292" s="363"/>
      <c r="AM292" s="364"/>
      <c r="AN292" s="365"/>
      <c r="AO292" s="365"/>
    </row>
    <row r="293" spans="1:41">
      <c r="A293" s="226" t="s">
        <v>1268</v>
      </c>
      <c r="B293" s="121" t="s">
        <v>1269</v>
      </c>
      <c r="C293" s="121" t="s">
        <v>1199</v>
      </c>
      <c r="D293" s="121" t="s">
        <v>43</v>
      </c>
      <c r="E293" s="121" t="s">
        <v>44</v>
      </c>
      <c r="F293" s="121" t="s">
        <v>884</v>
      </c>
      <c r="G293" s="121" t="s">
        <v>622</v>
      </c>
      <c r="H293" s="121" t="s">
        <v>62</v>
      </c>
      <c r="I293" s="121" t="s">
        <v>69</v>
      </c>
      <c r="J293" s="177">
        <v>13887906.338301886</v>
      </c>
      <c r="M293" s="275">
        <v>7.2335419572184811E-3</v>
      </c>
      <c r="N293" s="123">
        <v>8.0000000000000004E-4</v>
      </c>
      <c r="O293" s="229">
        <v>4.8000000000000001E-2</v>
      </c>
      <c r="P293" s="229" t="s">
        <v>608</v>
      </c>
      <c r="Q293" s="229" t="s">
        <v>122</v>
      </c>
      <c r="R293" s="123">
        <v>1E-3</v>
      </c>
      <c r="S293" s="123">
        <v>4.4499999999999998E-2</v>
      </c>
      <c r="T293" s="123">
        <v>9.35E-2</v>
      </c>
      <c r="U293" s="177" t="e">
        <f t="shared" si="9"/>
        <v>#REF!</v>
      </c>
      <c r="V293" s="177">
        <v>27784.989999999998</v>
      </c>
      <c r="W293" s="177">
        <v>0</v>
      </c>
      <c r="X293" s="177" t="e">
        <v>#REF!</v>
      </c>
      <c r="Y293" s="177">
        <v>5397.5</v>
      </c>
      <c r="Z293" s="177">
        <v>4762.5</v>
      </c>
      <c r="AA293" s="177">
        <v>0</v>
      </c>
      <c r="AB293" s="177">
        <v>0</v>
      </c>
      <c r="AC293" s="177">
        <v>0</v>
      </c>
      <c r="AD293" s="177">
        <v>0</v>
      </c>
      <c r="AE293" s="177">
        <v>0</v>
      </c>
      <c r="AF293" s="177">
        <v>0</v>
      </c>
      <c r="AG293" s="177">
        <v>0</v>
      </c>
      <c r="AH293" s="177">
        <v>0</v>
      </c>
      <c r="AI293" s="123" t="s">
        <v>122</v>
      </c>
      <c r="AJ293" s="123">
        <v>2.7000000000000001E-3</v>
      </c>
      <c r="AK293" s="177" t="s">
        <v>122</v>
      </c>
      <c r="AL293" s="363"/>
      <c r="AM293" s="364"/>
      <c r="AN293" s="365"/>
      <c r="AO293" s="365"/>
    </row>
    <row r="294" spans="1:41">
      <c r="A294" s="226" t="s">
        <v>1270</v>
      </c>
      <c r="B294" s="121" t="s">
        <v>1271</v>
      </c>
      <c r="C294" s="121" t="s">
        <v>1199</v>
      </c>
      <c r="D294" s="121" t="s">
        <v>43</v>
      </c>
      <c r="E294" s="121" t="s">
        <v>44</v>
      </c>
      <c r="F294" s="121" t="s">
        <v>55</v>
      </c>
      <c r="G294" s="121" t="s">
        <v>666</v>
      </c>
      <c r="H294" s="121" t="s">
        <v>62</v>
      </c>
      <c r="I294" s="121" t="s">
        <v>46</v>
      </c>
      <c r="J294" s="177">
        <v>1391650726.7540984</v>
      </c>
      <c r="M294" s="275">
        <v>-4.0850407310688674E-2</v>
      </c>
      <c r="N294" s="123">
        <v>-8.4900000000000003E-2</v>
      </c>
      <c r="O294" s="229">
        <v>8.0000000000000002E-3</v>
      </c>
      <c r="P294" s="229" t="s">
        <v>608</v>
      </c>
      <c r="Q294" s="229" t="s">
        <v>122</v>
      </c>
      <c r="R294" s="123">
        <v>1E-3</v>
      </c>
      <c r="S294" s="123">
        <v>1.2999999999999999E-2</v>
      </c>
      <c r="T294" s="123">
        <v>2.1999999999999999E-2</v>
      </c>
      <c r="U294" s="177">
        <f t="shared" si="9"/>
        <v>31318547.966377821</v>
      </c>
      <c r="V294" s="177">
        <v>9564655.2299674675</v>
      </c>
      <c r="W294" s="177">
        <v>0</v>
      </c>
      <c r="X294" s="177">
        <v>14981290.643501159</v>
      </c>
      <c r="Y294" s="177">
        <v>1125245.3704980854</v>
      </c>
      <c r="Z294" s="177">
        <v>694008.42088135239</v>
      </c>
      <c r="AA294" s="177">
        <v>351637.26905320148</v>
      </c>
      <c r="AB294" s="177">
        <v>0</v>
      </c>
      <c r="AC294" s="177">
        <v>0</v>
      </c>
      <c r="AD294" s="177">
        <v>4573309.8740544505</v>
      </c>
      <c r="AE294" s="177">
        <v>4573309.8740544505</v>
      </c>
      <c r="AF294" s="177">
        <v>28401.158422100081</v>
      </c>
      <c r="AG294" s="177">
        <v>0</v>
      </c>
      <c r="AH294" s="177">
        <v>0</v>
      </c>
      <c r="AI294" s="123">
        <v>6.7000000000000002E-3</v>
      </c>
      <c r="AJ294" s="123">
        <v>2.5920574999999998E-2</v>
      </c>
      <c r="AK294" s="177" t="s">
        <v>122</v>
      </c>
      <c r="AL294" s="363"/>
      <c r="AM294" s="364"/>
      <c r="AN294" s="365"/>
      <c r="AO294" s="365"/>
    </row>
    <row r="295" spans="1:41">
      <c r="A295" s="226" t="s">
        <v>1272</v>
      </c>
      <c r="B295" s="121" t="s">
        <v>1273</v>
      </c>
      <c r="C295" s="121" t="s">
        <v>1199</v>
      </c>
      <c r="D295" s="121" t="s">
        <v>43</v>
      </c>
      <c r="E295" s="121" t="s">
        <v>44</v>
      </c>
      <c r="F295" s="121" t="s">
        <v>55</v>
      </c>
      <c r="G295" s="121" t="s">
        <v>666</v>
      </c>
      <c r="H295" s="121" t="s">
        <v>62</v>
      </c>
      <c r="I295" s="121" t="s">
        <v>239</v>
      </c>
      <c r="J295" s="177">
        <v>658402381.66529715</v>
      </c>
      <c r="M295" s="275">
        <v>-2.3356842309048442E-2</v>
      </c>
      <c r="N295" s="123">
        <v>-8.4900000000000003E-2</v>
      </c>
      <c r="O295" s="229">
        <v>8.0000000000000002E-3</v>
      </c>
      <c r="P295" s="229" t="s">
        <v>608</v>
      </c>
      <c r="Q295" s="229" t="s">
        <v>122</v>
      </c>
      <c r="R295" s="123">
        <v>1E-3</v>
      </c>
      <c r="S295" s="123">
        <v>1.2999999999999999E-2</v>
      </c>
      <c r="T295" s="123">
        <v>2.1999999999999999E-2</v>
      </c>
      <c r="U295" s="177">
        <f t="shared" si="9"/>
        <v>15128912.052701222</v>
      </c>
      <c r="V295" s="177">
        <v>4525123.7700325334</v>
      </c>
      <c r="W295" s="177">
        <v>0</v>
      </c>
      <c r="X295" s="177">
        <v>7399609.7755778804</v>
      </c>
      <c r="Y295" s="177">
        <v>532363.62950191461</v>
      </c>
      <c r="Z295" s="177">
        <v>328341.57911864767</v>
      </c>
      <c r="AA295" s="177">
        <v>166362.73094679855</v>
      </c>
      <c r="AB295" s="177">
        <v>0</v>
      </c>
      <c r="AC295" s="177">
        <v>0</v>
      </c>
      <c r="AD295" s="177">
        <v>2163673.7259455486</v>
      </c>
      <c r="AE295" s="177">
        <v>2163673.7259455486</v>
      </c>
      <c r="AF295" s="177">
        <v>13436.841577899919</v>
      </c>
      <c r="AG295" s="177">
        <v>0</v>
      </c>
      <c r="AH295" s="177">
        <v>0</v>
      </c>
      <c r="AI295" s="123">
        <v>6.7000000000000002E-3</v>
      </c>
      <c r="AJ295" s="123">
        <v>2.6420574999999998E-2</v>
      </c>
      <c r="AK295" s="177" t="s">
        <v>122</v>
      </c>
      <c r="AL295" s="363"/>
      <c r="AM295" s="364"/>
      <c r="AN295" s="365"/>
      <c r="AO295" s="365"/>
    </row>
    <row r="296" spans="1:41">
      <c r="A296" s="226" t="s">
        <v>1274</v>
      </c>
      <c r="B296" s="121" t="s">
        <v>1275</v>
      </c>
      <c r="C296" s="121" t="s">
        <v>1199</v>
      </c>
      <c r="D296" s="121" t="s">
        <v>43</v>
      </c>
      <c r="E296" s="121" t="s">
        <v>44</v>
      </c>
      <c r="F296" s="121" t="s">
        <v>55</v>
      </c>
      <c r="G296" s="121" t="s">
        <v>58</v>
      </c>
      <c r="H296" s="121" t="s">
        <v>62</v>
      </c>
      <c r="I296" s="121" t="s">
        <v>46</v>
      </c>
      <c r="J296" s="177">
        <v>497386999.85042733</v>
      </c>
      <c r="M296" s="275">
        <v>0.26620501056145041</v>
      </c>
      <c r="N296" s="123">
        <v>0.2107</v>
      </c>
      <c r="O296" s="229">
        <v>8.0000000000000002E-3</v>
      </c>
      <c r="P296" s="229" t="s">
        <v>608</v>
      </c>
      <c r="Q296" s="229" t="s">
        <v>122</v>
      </c>
      <c r="R296" s="123">
        <v>1E-3</v>
      </c>
      <c r="S296" s="123">
        <v>1.2999999999999999E-2</v>
      </c>
      <c r="T296" s="123">
        <v>2.1999999999999999E-2</v>
      </c>
      <c r="U296" s="177">
        <f t="shared" si="9"/>
        <v>10511671.687612697</v>
      </c>
      <c r="V296" s="177">
        <v>4108993</v>
      </c>
      <c r="W296" s="177">
        <v>0</v>
      </c>
      <c r="X296" s="177">
        <v>4345010.6876126966</v>
      </c>
      <c r="Y296" s="177">
        <v>400554</v>
      </c>
      <c r="Z296" s="177">
        <v>1517650</v>
      </c>
      <c r="AA296" s="177">
        <v>111000</v>
      </c>
      <c r="AB296" s="177">
        <v>0</v>
      </c>
      <c r="AC296" s="177">
        <v>0</v>
      </c>
      <c r="AD296" s="177">
        <v>0</v>
      </c>
      <c r="AE296" s="177">
        <v>0</v>
      </c>
      <c r="AF296" s="177">
        <v>28464</v>
      </c>
      <c r="AG296" s="177">
        <v>0</v>
      </c>
      <c r="AH296" s="177">
        <v>0</v>
      </c>
      <c r="AI296" s="123">
        <v>1.7299999999999999E-2</v>
      </c>
      <c r="AJ296" s="123">
        <v>3.4229853749999997E-2</v>
      </c>
      <c r="AK296" s="177">
        <v>2052744.2357699999</v>
      </c>
      <c r="AL296" s="363"/>
      <c r="AM296" s="364"/>
      <c r="AN296" s="365"/>
      <c r="AO296" s="365"/>
    </row>
    <row r="297" spans="1:41">
      <c r="A297" s="226" t="s">
        <v>1276</v>
      </c>
      <c r="B297" s="121" t="s">
        <v>1277</v>
      </c>
      <c r="C297" s="121" t="s">
        <v>1199</v>
      </c>
      <c r="D297" s="121" t="s">
        <v>43</v>
      </c>
      <c r="E297" s="121" t="s">
        <v>44</v>
      </c>
      <c r="F297" s="121" t="s">
        <v>884</v>
      </c>
      <c r="G297" s="121" t="s">
        <v>622</v>
      </c>
      <c r="H297" s="121" t="s">
        <v>45</v>
      </c>
      <c r="I297" s="121" t="s">
        <v>46</v>
      </c>
      <c r="J297" s="177">
        <v>3432216853.3018866</v>
      </c>
      <c r="M297" s="275">
        <v>0.18380139595534128</v>
      </c>
      <c r="N297" s="123">
        <v>5.7099999999999998E-2</v>
      </c>
      <c r="O297" s="229">
        <v>4.8000000000000001E-2</v>
      </c>
      <c r="P297" s="229" t="s">
        <v>608</v>
      </c>
      <c r="Q297" s="229" t="s">
        <v>122</v>
      </c>
      <c r="R297" s="123">
        <v>1E-3</v>
      </c>
      <c r="S297" s="123">
        <v>4.4499999999999998E-2</v>
      </c>
      <c r="T297" s="123">
        <v>9.35E-2</v>
      </c>
      <c r="U297" s="177" t="e">
        <f t="shared" si="9"/>
        <v>#REF!</v>
      </c>
      <c r="V297" s="177">
        <v>6187122</v>
      </c>
      <c r="W297" s="177">
        <v>0</v>
      </c>
      <c r="X297" s="177" t="e">
        <v>#REF!</v>
      </c>
      <c r="Y297" s="177">
        <v>1198996</v>
      </c>
      <c r="Z297" s="177">
        <v>1267714</v>
      </c>
      <c r="AA297" s="177">
        <v>0</v>
      </c>
      <c r="AB297" s="177">
        <v>0</v>
      </c>
      <c r="AC297" s="177">
        <v>0</v>
      </c>
      <c r="AD297" s="177">
        <v>0</v>
      </c>
      <c r="AE297" s="177">
        <v>0</v>
      </c>
      <c r="AF297" s="177">
        <v>0</v>
      </c>
      <c r="AG297" s="177">
        <v>0</v>
      </c>
      <c r="AH297" s="177">
        <v>0</v>
      </c>
      <c r="AI297" s="123" t="s">
        <v>122</v>
      </c>
      <c r="AJ297" s="123">
        <v>2.5000000000000001E-3</v>
      </c>
      <c r="AK297" s="177" t="s">
        <v>122</v>
      </c>
      <c r="AL297" s="363"/>
      <c r="AM297" s="364"/>
      <c r="AN297" s="365"/>
      <c r="AO297" s="365"/>
    </row>
    <row r="298" spans="1:41">
      <c r="A298" s="226" t="s">
        <v>1278</v>
      </c>
      <c r="B298" s="121" t="s">
        <v>1279</v>
      </c>
      <c r="C298" s="121" t="s">
        <v>1199</v>
      </c>
      <c r="D298" s="121" t="s">
        <v>43</v>
      </c>
      <c r="E298" s="121" t="s">
        <v>44</v>
      </c>
      <c r="F298" s="121" t="s">
        <v>884</v>
      </c>
      <c r="G298" s="121" t="s">
        <v>622</v>
      </c>
      <c r="H298" s="121" t="s">
        <v>45</v>
      </c>
      <c r="I298" s="121" t="s">
        <v>46</v>
      </c>
      <c r="J298" s="177">
        <v>2791023526.4067798</v>
      </c>
      <c r="M298" s="275">
        <v>0.10676434045178973</v>
      </c>
      <c r="N298" s="123">
        <v>5.7099999999999998E-2</v>
      </c>
      <c r="O298" s="229">
        <v>4.8000000000000001E-2</v>
      </c>
      <c r="P298" s="229" t="s">
        <v>608</v>
      </c>
      <c r="Q298" s="229" t="s">
        <v>122</v>
      </c>
      <c r="R298" s="123">
        <v>1E-3</v>
      </c>
      <c r="S298" s="123">
        <v>4.4499999999999998E-2</v>
      </c>
      <c r="T298" s="123">
        <v>9.35E-2</v>
      </c>
      <c r="U298" s="177" t="e">
        <f t="shared" si="9"/>
        <v>#REF!</v>
      </c>
      <c r="V298" s="177">
        <v>5127890</v>
      </c>
      <c r="W298" s="177">
        <v>0</v>
      </c>
      <c r="X298" s="177" t="e">
        <v>#REF!</v>
      </c>
      <c r="Y298" s="177">
        <v>1200272</v>
      </c>
      <c r="Z298" s="177">
        <v>1267714</v>
      </c>
      <c r="AA298" s="177">
        <v>0</v>
      </c>
      <c r="AB298" s="177">
        <v>0</v>
      </c>
      <c r="AC298" s="177">
        <v>0</v>
      </c>
      <c r="AD298" s="177">
        <v>0</v>
      </c>
      <c r="AE298" s="177">
        <v>0</v>
      </c>
      <c r="AF298" s="177">
        <v>0</v>
      </c>
      <c r="AG298" s="177">
        <v>0</v>
      </c>
      <c r="AH298" s="177">
        <v>0</v>
      </c>
      <c r="AI298" s="123" t="s">
        <v>122</v>
      </c>
      <c r="AJ298" s="123">
        <v>2.7000000000000001E-3</v>
      </c>
      <c r="AK298" s="177" t="s">
        <v>122</v>
      </c>
      <c r="AL298" s="363"/>
      <c r="AM298" s="364"/>
      <c r="AN298" s="365"/>
      <c r="AO298" s="365"/>
    </row>
    <row r="299" spans="1:41">
      <c r="A299" s="226" t="s">
        <v>1280</v>
      </c>
      <c r="B299" s="121" t="s">
        <v>1281</v>
      </c>
      <c r="C299" s="121" t="s">
        <v>1199</v>
      </c>
      <c r="D299" s="121" t="s">
        <v>553</v>
      </c>
      <c r="E299" s="121" t="s">
        <v>621</v>
      </c>
      <c r="F299" s="121" t="s">
        <v>884</v>
      </c>
      <c r="G299" s="121" t="s">
        <v>622</v>
      </c>
      <c r="H299" s="121" t="s">
        <v>45</v>
      </c>
      <c r="I299" s="121" t="s">
        <v>46</v>
      </c>
      <c r="J299" s="177">
        <v>3165352781.4879999</v>
      </c>
      <c r="M299" s="275">
        <v>1.41090619801294E-2</v>
      </c>
      <c r="N299" s="123">
        <v>5.7099999999999998E-2</v>
      </c>
      <c r="O299" s="229">
        <v>0.05</v>
      </c>
      <c r="P299" s="229" t="s">
        <v>608</v>
      </c>
      <c r="Q299" s="229" t="s">
        <v>122</v>
      </c>
      <c r="R299" s="123">
        <v>1E-3</v>
      </c>
      <c r="S299" s="123">
        <v>6.7000000000000004E-2</v>
      </c>
      <c r="T299" s="123">
        <v>0.11800000000000001</v>
      </c>
      <c r="U299" s="177" t="e">
        <f t="shared" si="9"/>
        <v>#REF!</v>
      </c>
      <c r="V299" s="177" t="e">
        <v>#REF!</v>
      </c>
      <c r="W299" s="177">
        <v>0</v>
      </c>
      <c r="X299" s="177" t="e">
        <v>#REF!</v>
      </c>
      <c r="Y299" s="177">
        <v>1291536</v>
      </c>
      <c r="Z299" s="177">
        <v>1020064</v>
      </c>
      <c r="AA299" s="177">
        <v>0</v>
      </c>
      <c r="AB299" s="177">
        <v>0</v>
      </c>
      <c r="AC299" s="177">
        <v>0</v>
      </c>
      <c r="AD299" s="177">
        <v>0</v>
      </c>
      <c r="AE299" s="177">
        <v>0</v>
      </c>
      <c r="AF299" s="177">
        <v>0</v>
      </c>
      <c r="AG299" s="177">
        <v>0</v>
      </c>
      <c r="AH299" s="177">
        <v>0</v>
      </c>
      <c r="AI299" s="123" t="s">
        <v>122</v>
      </c>
      <c r="AJ299" s="123">
        <v>2.8E-3</v>
      </c>
      <c r="AK299" s="177" t="s">
        <v>122</v>
      </c>
      <c r="AL299" s="363"/>
      <c r="AM299" s="364"/>
      <c r="AN299" s="365"/>
      <c r="AO299" s="365"/>
    </row>
    <row r="300" spans="1:41">
      <c r="A300" s="226" t="s">
        <v>1282</v>
      </c>
      <c r="B300" s="121" t="s">
        <v>1283</v>
      </c>
      <c r="C300" s="121" t="s">
        <v>1199</v>
      </c>
      <c r="D300" s="121" t="s">
        <v>553</v>
      </c>
      <c r="E300" s="121" t="s">
        <v>621</v>
      </c>
      <c r="F300" s="121" t="s">
        <v>884</v>
      </c>
      <c r="G300" s="121" t="s">
        <v>622</v>
      </c>
      <c r="H300" s="121" t="s">
        <v>45</v>
      </c>
      <c r="I300" s="121" t="s">
        <v>46</v>
      </c>
      <c r="J300" s="177">
        <v>622864224.23505974</v>
      </c>
      <c r="M300" s="275">
        <v>-2.738995902158925E-2</v>
      </c>
      <c r="N300" s="123">
        <v>5.7099999999999998E-2</v>
      </c>
      <c r="O300" s="229">
        <v>0.05</v>
      </c>
      <c r="P300" s="229" t="s">
        <v>608</v>
      </c>
      <c r="Q300" s="229" t="s">
        <v>122</v>
      </c>
      <c r="R300" s="123">
        <v>1E-3</v>
      </c>
      <c r="S300" s="123">
        <v>6.7000000000000004E-2</v>
      </c>
      <c r="T300" s="123">
        <v>0.11800000000000001</v>
      </c>
      <c r="U300" s="177" t="e">
        <f t="shared" si="9"/>
        <v>#REF!</v>
      </c>
      <c r="V300" s="177" t="e">
        <v>#REF!</v>
      </c>
      <c r="W300" s="177">
        <v>0</v>
      </c>
      <c r="X300" s="177" t="e">
        <v>#REF!</v>
      </c>
      <c r="Y300" s="177">
        <v>252755</v>
      </c>
      <c r="Z300" s="177">
        <v>1020064</v>
      </c>
      <c r="AA300" s="177">
        <v>0</v>
      </c>
      <c r="AB300" s="177">
        <v>0</v>
      </c>
      <c r="AC300" s="177">
        <v>0</v>
      </c>
      <c r="AD300" s="177">
        <v>0</v>
      </c>
      <c r="AE300" s="177">
        <v>0</v>
      </c>
      <c r="AF300" s="177">
        <v>0</v>
      </c>
      <c r="AG300" s="177">
        <v>0</v>
      </c>
      <c r="AH300" s="177">
        <v>0</v>
      </c>
      <c r="AI300" s="123" t="s">
        <v>122</v>
      </c>
      <c r="AJ300" s="123">
        <v>5.1000000000000004E-3</v>
      </c>
      <c r="AK300" s="177" t="s">
        <v>122</v>
      </c>
      <c r="AL300" s="363"/>
      <c r="AM300" s="364"/>
      <c r="AN300" s="365"/>
      <c r="AO300" s="365"/>
    </row>
    <row r="301" spans="1:41">
      <c r="A301" s="226" t="s">
        <v>1284</v>
      </c>
      <c r="B301" s="121" t="s">
        <v>1285</v>
      </c>
      <c r="C301" s="121" t="s">
        <v>1199</v>
      </c>
      <c r="D301" s="121" t="s">
        <v>43</v>
      </c>
      <c r="E301" s="121" t="s">
        <v>44</v>
      </c>
      <c r="F301" s="121" t="s">
        <v>55</v>
      </c>
      <c r="G301" s="121" t="s">
        <v>88</v>
      </c>
      <c r="H301" s="121" t="s">
        <v>45</v>
      </c>
      <c r="I301" s="121" t="s">
        <v>46</v>
      </c>
      <c r="J301" s="177">
        <v>5780056617.2540979</v>
      </c>
      <c r="M301" s="275">
        <v>4.7576529930288824E-2</v>
      </c>
      <c r="N301" s="123">
        <v>5.7099999999999998E-2</v>
      </c>
      <c r="O301" s="229">
        <v>5.0000000000000001E-3</v>
      </c>
      <c r="P301" s="229" t="s">
        <v>608</v>
      </c>
      <c r="Q301" s="229" t="s">
        <v>122</v>
      </c>
      <c r="R301" s="123">
        <v>1E-3</v>
      </c>
      <c r="S301" s="123">
        <v>4.0000000000000001E-3</v>
      </c>
      <c r="T301" s="123">
        <v>0.01</v>
      </c>
      <c r="U301" s="177" t="e">
        <f t="shared" si="9"/>
        <v>#REF!</v>
      </c>
      <c r="V301" s="177">
        <v>33519861</v>
      </c>
      <c r="W301" s="177">
        <v>0</v>
      </c>
      <c r="X301" s="177">
        <v>34094634.846936956</v>
      </c>
      <c r="Y301" s="177">
        <v>0</v>
      </c>
      <c r="Z301" s="177" t="e">
        <v>#REF!</v>
      </c>
      <c r="AA301" s="177">
        <v>1458000</v>
      </c>
      <c r="AB301" s="177">
        <v>0</v>
      </c>
      <c r="AC301" s="177">
        <v>0</v>
      </c>
      <c r="AD301" s="177">
        <v>23199546.390000001</v>
      </c>
      <c r="AE301" s="177">
        <v>0</v>
      </c>
      <c r="AF301" s="177">
        <v>196004</v>
      </c>
      <c r="AG301" s="177">
        <v>0</v>
      </c>
      <c r="AH301" s="177">
        <v>0</v>
      </c>
      <c r="AI301" s="123">
        <v>8.0000000000000002E-3</v>
      </c>
      <c r="AJ301" s="123">
        <v>2.2993287048692287E-2</v>
      </c>
      <c r="AK301" s="177">
        <v>6933038.8742143102</v>
      </c>
      <c r="AL301" s="363"/>
      <c r="AM301" s="364"/>
      <c r="AN301" s="365"/>
      <c r="AO301" s="365"/>
    </row>
    <row r="302" spans="1:41">
      <c r="A302" s="226" t="s">
        <v>1286</v>
      </c>
      <c r="B302" s="121" t="s">
        <v>1287</v>
      </c>
      <c r="C302" s="121" t="s">
        <v>1199</v>
      </c>
      <c r="D302" s="121" t="s">
        <v>43</v>
      </c>
      <c r="E302" s="121" t="s">
        <v>44</v>
      </c>
      <c r="F302" s="121" t="s">
        <v>1348</v>
      </c>
      <c r="G302" s="121" t="s">
        <v>58</v>
      </c>
      <c r="H302" s="121" t="s">
        <v>62</v>
      </c>
      <c r="I302" s="121" t="s">
        <v>46</v>
      </c>
      <c r="J302" s="177">
        <v>491206924.02953589</v>
      </c>
      <c r="M302" s="275">
        <v>-4.7642456164060709E-2</v>
      </c>
      <c r="N302" s="123">
        <v>-6.5199999999999994E-2</v>
      </c>
      <c r="O302" s="229">
        <v>8.0000000000000002E-3</v>
      </c>
      <c r="P302" s="229" t="s">
        <v>608</v>
      </c>
      <c r="Q302" s="229" t="s">
        <v>122</v>
      </c>
      <c r="R302" s="123">
        <v>1E-3</v>
      </c>
      <c r="S302" s="123">
        <v>1.2999999999999999E-2</v>
      </c>
      <c r="T302" s="123">
        <v>2.1999999999999999E-2</v>
      </c>
      <c r="U302" s="177">
        <f t="shared" si="9"/>
        <v>12301004.681548012</v>
      </c>
      <c r="V302" s="177">
        <v>3333139</v>
      </c>
      <c r="W302" s="177">
        <v>0</v>
      </c>
      <c r="X302" s="177">
        <v>5042884.8315480128</v>
      </c>
      <c r="Y302" s="177">
        <v>394994</v>
      </c>
      <c r="Z302" s="177">
        <v>1985010</v>
      </c>
      <c r="AA302" s="177">
        <v>115000</v>
      </c>
      <c r="AB302" s="177">
        <v>0</v>
      </c>
      <c r="AC302" s="177">
        <v>0</v>
      </c>
      <c r="AD302" s="177">
        <v>1413466.8499999996</v>
      </c>
      <c r="AE302" s="177">
        <v>1413466.8499999996</v>
      </c>
      <c r="AF302" s="177">
        <v>16510</v>
      </c>
      <c r="AG302" s="177">
        <v>0</v>
      </c>
      <c r="AH302" s="177">
        <v>0</v>
      </c>
      <c r="AI302" s="123" t="s">
        <v>122</v>
      </c>
      <c r="AJ302" s="123">
        <v>2.2100000000000002E-2</v>
      </c>
      <c r="AK302" s="177" t="s">
        <v>122</v>
      </c>
      <c r="AL302" s="363"/>
      <c r="AM302" s="364"/>
      <c r="AN302" s="365"/>
      <c r="AO302" s="365"/>
    </row>
    <row r="303" spans="1:41">
      <c r="A303" s="226" t="s">
        <v>1288</v>
      </c>
      <c r="B303" s="121" t="s">
        <v>1289</v>
      </c>
      <c r="C303" s="121" t="s">
        <v>1199</v>
      </c>
      <c r="D303" s="121" t="s">
        <v>553</v>
      </c>
      <c r="E303" s="121" t="s">
        <v>621</v>
      </c>
      <c r="F303" s="121" t="s">
        <v>884</v>
      </c>
      <c r="G303" s="121" t="s">
        <v>622</v>
      </c>
      <c r="H303" s="121" t="s">
        <v>45</v>
      </c>
      <c r="I303" s="121" t="s">
        <v>46</v>
      </c>
      <c r="J303" s="177">
        <v>3158037856.4621515</v>
      </c>
      <c r="M303" s="275">
        <v>9.2762795076823501E-2</v>
      </c>
      <c r="N303" s="123">
        <v>5.7099999999999998E-2</v>
      </c>
      <c r="O303" s="229">
        <v>0.05</v>
      </c>
      <c r="P303" s="229" t="s">
        <v>608</v>
      </c>
      <c r="Q303" s="229" t="s">
        <v>122</v>
      </c>
      <c r="R303" s="123">
        <v>1E-3</v>
      </c>
      <c r="S303" s="123">
        <v>6.7000000000000004E-2</v>
      </c>
      <c r="T303" s="123">
        <v>0.11800000000000001</v>
      </c>
      <c r="U303" s="177" t="e">
        <f t="shared" si="9"/>
        <v>#REF!</v>
      </c>
      <c r="V303" s="177" t="e">
        <v>#REF!</v>
      </c>
      <c r="W303" s="177">
        <v>0</v>
      </c>
      <c r="X303" s="177" t="e">
        <v>#REF!</v>
      </c>
      <c r="Y303" s="177">
        <v>1044003</v>
      </c>
      <c r="Z303" s="177">
        <v>1020064</v>
      </c>
      <c r="AA303" s="177">
        <v>0</v>
      </c>
      <c r="AB303" s="177">
        <v>0</v>
      </c>
      <c r="AC303" s="177">
        <v>0</v>
      </c>
      <c r="AD303" s="177">
        <v>0</v>
      </c>
      <c r="AE303" s="177">
        <v>0</v>
      </c>
      <c r="AF303" s="177">
        <v>0</v>
      </c>
      <c r="AG303" s="177">
        <v>0</v>
      </c>
      <c r="AH303" s="177">
        <v>0</v>
      </c>
      <c r="AI303" s="123" t="s">
        <v>122</v>
      </c>
      <c r="AJ303" s="123">
        <v>2.7000000000000001E-3</v>
      </c>
      <c r="AK303" s="177" t="s">
        <v>122</v>
      </c>
      <c r="AL303" s="363"/>
      <c r="AM303" s="364"/>
      <c r="AN303" s="365"/>
      <c r="AO303" s="365"/>
    </row>
    <row r="304" spans="1:41">
      <c r="A304" s="226" t="s">
        <v>1290</v>
      </c>
      <c r="B304" s="121" t="s">
        <v>1291</v>
      </c>
      <c r="C304" s="121" t="s">
        <v>1199</v>
      </c>
      <c r="D304" s="121" t="s">
        <v>553</v>
      </c>
      <c r="E304" s="121" t="s">
        <v>621</v>
      </c>
      <c r="F304" s="121" t="s">
        <v>884</v>
      </c>
      <c r="G304" s="121" t="s">
        <v>622</v>
      </c>
      <c r="H304" s="121" t="s">
        <v>45</v>
      </c>
      <c r="I304" s="121" t="s">
        <v>46</v>
      </c>
      <c r="J304" s="177">
        <v>256766478.07569721</v>
      </c>
      <c r="M304" s="275">
        <v>7.7257726855788134E-2</v>
      </c>
      <c r="N304" s="123">
        <v>5.7099999999999998E-2</v>
      </c>
      <c r="O304" s="229">
        <v>0.05</v>
      </c>
      <c r="P304" s="229" t="s">
        <v>608</v>
      </c>
      <c r="Q304" s="229" t="s">
        <v>122</v>
      </c>
      <c r="R304" s="123">
        <v>1E-3</v>
      </c>
      <c r="S304" s="123">
        <v>6.7000000000000004E-2</v>
      </c>
      <c r="T304" s="123">
        <v>0.11800000000000001</v>
      </c>
      <c r="U304" s="177">
        <f t="shared" si="9"/>
        <v>598500</v>
      </c>
      <c r="V304" s="177">
        <v>598500</v>
      </c>
      <c r="W304" s="177">
        <v>0</v>
      </c>
      <c r="X304" s="177">
        <v>0</v>
      </c>
      <c r="Y304" s="177">
        <v>0</v>
      </c>
      <c r="Z304" s="177">
        <v>0</v>
      </c>
      <c r="AA304" s="177">
        <v>0</v>
      </c>
      <c r="AB304" s="177">
        <v>0</v>
      </c>
      <c r="AC304" s="177">
        <v>0</v>
      </c>
      <c r="AD304" s="177">
        <v>0</v>
      </c>
      <c r="AE304" s="177">
        <v>0</v>
      </c>
      <c r="AF304" s="177">
        <v>0</v>
      </c>
      <c r="AG304" s="177">
        <v>0</v>
      </c>
      <c r="AH304" s="177">
        <v>0</v>
      </c>
      <c r="AI304" s="123" t="s">
        <v>122</v>
      </c>
      <c r="AJ304" s="123" t="s">
        <v>122</v>
      </c>
      <c r="AK304" s="177" t="s">
        <v>122</v>
      </c>
      <c r="AL304" s="363"/>
      <c r="AM304" s="364"/>
      <c r="AN304" s="365"/>
      <c r="AO304" s="365"/>
    </row>
    <row r="305" spans="1:41">
      <c r="A305" s="226" t="s">
        <v>1292</v>
      </c>
      <c r="B305" s="121" t="s">
        <v>1293</v>
      </c>
      <c r="C305" s="121" t="s">
        <v>1199</v>
      </c>
      <c r="D305" s="121" t="s">
        <v>43</v>
      </c>
      <c r="E305" s="121" t="s">
        <v>44</v>
      </c>
      <c r="F305" s="121" t="s">
        <v>1348</v>
      </c>
      <c r="G305" s="121" t="s">
        <v>641</v>
      </c>
      <c r="H305" s="121" t="s">
        <v>62</v>
      </c>
      <c r="I305" s="121" t="s">
        <v>239</v>
      </c>
      <c r="J305" s="177">
        <v>58111263.98026906</v>
      </c>
      <c r="M305" s="275">
        <v>7.3433601772829871E-3</v>
      </c>
      <c r="N305" s="123">
        <v>1.9E-3</v>
      </c>
      <c r="O305" s="229">
        <v>5.4999999999999997E-3</v>
      </c>
      <c r="P305" s="229" t="s">
        <v>608</v>
      </c>
      <c r="Q305" s="229" t="s">
        <v>122</v>
      </c>
      <c r="R305" s="123">
        <v>1E-3</v>
      </c>
      <c r="S305" s="123">
        <v>0.01</v>
      </c>
      <c r="T305" s="123">
        <v>1.6500000000000001E-2</v>
      </c>
      <c r="U305" s="177">
        <f t="shared" si="9"/>
        <v>329429.34057857533</v>
      </c>
      <c r="V305" s="177">
        <v>124986.12999999998</v>
      </c>
      <c r="W305" s="177">
        <v>0</v>
      </c>
      <c r="X305" s="177">
        <v>176997.64057857537</v>
      </c>
      <c r="Y305" s="177">
        <v>4716.4699999999993</v>
      </c>
      <c r="Z305" s="177">
        <v>7817</v>
      </c>
      <c r="AA305" s="177">
        <v>14738.78</v>
      </c>
      <c r="AB305" s="177">
        <v>0</v>
      </c>
      <c r="AC305" s="177">
        <v>0</v>
      </c>
      <c r="AD305" s="177">
        <v>0</v>
      </c>
      <c r="AE305" s="177">
        <v>0</v>
      </c>
      <c r="AF305" s="177">
        <v>173.32000000000002</v>
      </c>
      <c r="AG305" s="177">
        <v>0</v>
      </c>
      <c r="AH305" s="177">
        <v>0</v>
      </c>
      <c r="AI305" s="123" t="s">
        <v>122</v>
      </c>
      <c r="AJ305" s="123">
        <v>5.7000000000000002E-3</v>
      </c>
      <c r="AK305" s="177" t="s">
        <v>122</v>
      </c>
      <c r="AL305" s="363"/>
      <c r="AM305" s="364"/>
      <c r="AN305" s="365"/>
      <c r="AO305" s="365"/>
    </row>
    <row r="306" spans="1:41">
      <c r="A306" s="226" t="s">
        <v>1294</v>
      </c>
      <c r="B306" s="121" t="s">
        <v>1295</v>
      </c>
      <c r="C306" s="121" t="s">
        <v>1199</v>
      </c>
      <c r="D306" s="121" t="s">
        <v>43</v>
      </c>
      <c r="E306" s="121" t="s">
        <v>44</v>
      </c>
      <c r="F306" s="121" t="s">
        <v>1348</v>
      </c>
      <c r="G306" s="121" t="s">
        <v>641</v>
      </c>
      <c r="H306" s="121" t="s">
        <v>62</v>
      </c>
      <c r="I306" s="121" t="s">
        <v>69</v>
      </c>
      <c r="J306" s="177">
        <v>148437009.59791169</v>
      </c>
      <c r="M306" s="275">
        <v>4.629252900064218E-3</v>
      </c>
      <c r="N306" s="123">
        <v>7.000000000000001E-4</v>
      </c>
      <c r="O306" s="229">
        <v>8.0000000000000002E-3</v>
      </c>
      <c r="P306" s="229" t="s">
        <v>608</v>
      </c>
      <c r="Q306" s="229" t="s">
        <v>122</v>
      </c>
      <c r="R306" s="123">
        <v>1E-3</v>
      </c>
      <c r="S306" s="123">
        <v>1.2999999999999999E-2</v>
      </c>
      <c r="T306" s="123">
        <v>2.1999999999999999E-2</v>
      </c>
      <c r="U306" s="177">
        <f t="shared" si="9"/>
        <v>857493.07236148242</v>
      </c>
      <c r="V306" s="177">
        <v>254637.07</v>
      </c>
      <c r="W306" s="177">
        <v>0</v>
      </c>
      <c r="X306" s="177">
        <v>484025.64236148243</v>
      </c>
      <c r="Y306" s="177">
        <v>74893.31</v>
      </c>
      <c r="Z306" s="177">
        <v>6426</v>
      </c>
      <c r="AA306" s="177">
        <v>37446.449999999997</v>
      </c>
      <c r="AB306" s="177">
        <v>0</v>
      </c>
      <c r="AC306" s="177">
        <v>0</v>
      </c>
      <c r="AD306" s="177">
        <v>0</v>
      </c>
      <c r="AE306" s="177">
        <v>0</v>
      </c>
      <c r="AF306" s="177">
        <v>64.599999999999994</v>
      </c>
      <c r="AG306" s="177">
        <v>0</v>
      </c>
      <c r="AH306" s="177">
        <v>0</v>
      </c>
      <c r="AI306" s="123" t="s">
        <v>122</v>
      </c>
      <c r="AJ306" s="123">
        <v>5.7999999999999996E-3</v>
      </c>
      <c r="AK306" s="177" t="s">
        <v>122</v>
      </c>
      <c r="AL306" s="363"/>
      <c r="AM306" s="364"/>
      <c r="AN306" s="365"/>
      <c r="AO306" s="365"/>
    </row>
    <row r="307" spans="1:41">
      <c r="A307" s="226" t="s">
        <v>1296</v>
      </c>
      <c r="B307" s="121" t="s">
        <v>1297</v>
      </c>
      <c r="C307" s="121" t="s">
        <v>1199</v>
      </c>
      <c r="D307" s="121" t="s">
        <v>43</v>
      </c>
      <c r="E307" s="121" t="s">
        <v>44</v>
      </c>
      <c r="F307" s="121" t="s">
        <v>1348</v>
      </c>
      <c r="G307" s="121" t="s">
        <v>641</v>
      </c>
      <c r="H307" s="121" t="s">
        <v>45</v>
      </c>
      <c r="I307" s="121" t="s">
        <v>46</v>
      </c>
      <c r="J307" s="177">
        <v>260387283479.4502</v>
      </c>
      <c r="M307" s="275">
        <v>3.0931707124706609E-2</v>
      </c>
      <c r="N307" s="123">
        <v>4.5199999999999997E-2</v>
      </c>
      <c r="O307" s="229">
        <v>5.4999999999999997E-3</v>
      </c>
      <c r="P307" s="229" t="s">
        <v>608</v>
      </c>
      <c r="Q307" s="229" t="s">
        <v>122</v>
      </c>
      <c r="R307" s="123">
        <v>1E-3</v>
      </c>
      <c r="S307" s="123">
        <v>0.01</v>
      </c>
      <c r="T307" s="123">
        <v>1.6500000000000001E-2</v>
      </c>
      <c r="U307" s="177">
        <f t="shared" si="9"/>
        <v>4005276023.5880766</v>
      </c>
      <c r="V307" s="177">
        <v>1397370346</v>
      </c>
      <c r="W307" s="177">
        <v>0</v>
      </c>
      <c r="X307" s="177">
        <v>2327713532.7254248</v>
      </c>
      <c r="Y307" s="177">
        <v>209901892</v>
      </c>
      <c r="Z307" s="177">
        <v>4711017.2861034432</v>
      </c>
      <c r="AA307" s="177">
        <v>65555003.417972594</v>
      </c>
      <c r="AB307" s="177">
        <v>0</v>
      </c>
      <c r="AC307" s="177">
        <v>0</v>
      </c>
      <c r="AD307" s="177">
        <v>0</v>
      </c>
      <c r="AE307" s="177">
        <v>0</v>
      </c>
      <c r="AF307" s="177">
        <v>24232.158576188373</v>
      </c>
      <c r="AG307" s="177">
        <v>0</v>
      </c>
      <c r="AH307" s="177">
        <v>0</v>
      </c>
      <c r="AI307" s="123" t="s">
        <v>122</v>
      </c>
      <c r="AJ307" s="123">
        <v>1.54E-2</v>
      </c>
      <c r="AK307" s="177" t="s">
        <v>122</v>
      </c>
      <c r="AL307" s="363"/>
      <c r="AM307" s="364"/>
      <c r="AN307" s="365"/>
      <c r="AO307" s="365"/>
    </row>
    <row r="308" spans="1:41">
      <c r="A308" s="226" t="s">
        <v>1298</v>
      </c>
      <c r="B308" s="121" t="s">
        <v>1299</v>
      </c>
      <c r="C308" s="121" t="s">
        <v>1199</v>
      </c>
      <c r="D308" s="121" t="s">
        <v>43</v>
      </c>
      <c r="E308" s="121" t="s">
        <v>44</v>
      </c>
      <c r="F308" s="121" t="s">
        <v>1348</v>
      </c>
      <c r="G308" s="121" t="s">
        <v>641</v>
      </c>
      <c r="H308" s="121" t="s">
        <v>45</v>
      </c>
      <c r="I308" s="121" t="s">
        <v>46</v>
      </c>
      <c r="J308" s="177">
        <v>666683438.60557771</v>
      </c>
      <c r="M308" s="275">
        <v>3.0932741116751261E-2</v>
      </c>
      <c r="N308" s="123">
        <v>4.5199999999999997E-2</v>
      </c>
      <c r="O308" s="229">
        <v>7.4999999999999997E-3</v>
      </c>
      <c r="P308" s="229" t="s">
        <v>608</v>
      </c>
      <c r="Q308" s="229" t="s">
        <v>122</v>
      </c>
      <c r="R308" s="123">
        <v>1E-3</v>
      </c>
      <c r="S308" s="123">
        <v>1.2500000000000001E-2</v>
      </c>
      <c r="T308" s="123">
        <v>2.1000000000000001E-2</v>
      </c>
      <c r="U308" s="177">
        <f t="shared" si="9"/>
        <v>10266594.828945974</v>
      </c>
      <c r="V308" s="177">
        <v>3574091</v>
      </c>
      <c r="W308" s="177">
        <v>0</v>
      </c>
      <c r="X308" s="177">
        <v>5975532.9485919904</v>
      </c>
      <c r="Y308" s="177">
        <v>537003</v>
      </c>
      <c r="Z308" s="177">
        <v>12061.868619930625</v>
      </c>
      <c r="AA308" s="177">
        <v>167843.96884705595</v>
      </c>
      <c r="AB308" s="177">
        <v>0</v>
      </c>
      <c r="AC308" s="177">
        <v>0</v>
      </c>
      <c r="AD308" s="177">
        <v>0</v>
      </c>
      <c r="AE308" s="177">
        <v>0</v>
      </c>
      <c r="AF308" s="177">
        <v>62.042886997144286</v>
      </c>
      <c r="AG308" s="177">
        <v>0</v>
      </c>
      <c r="AH308" s="177">
        <v>0</v>
      </c>
      <c r="AI308" s="123" t="s">
        <v>122</v>
      </c>
      <c r="AJ308" s="123">
        <v>1.54E-2</v>
      </c>
      <c r="AK308" s="177" t="s">
        <v>122</v>
      </c>
      <c r="AL308" s="363"/>
      <c r="AM308" s="364"/>
      <c r="AN308" s="365"/>
      <c r="AO308" s="365"/>
    </row>
    <row r="309" spans="1:41">
      <c r="A309" s="226" t="s">
        <v>1300</v>
      </c>
      <c r="B309" s="121" t="s">
        <v>1301</v>
      </c>
      <c r="C309" s="121" t="s">
        <v>1199</v>
      </c>
      <c r="D309" s="121" t="s">
        <v>43</v>
      </c>
      <c r="E309" s="121" t="s">
        <v>44</v>
      </c>
      <c r="F309" s="121" t="s">
        <v>1348</v>
      </c>
      <c r="G309" s="121" t="s">
        <v>641</v>
      </c>
      <c r="H309" s="121" t="s">
        <v>45</v>
      </c>
      <c r="I309" s="121" t="s">
        <v>46</v>
      </c>
      <c r="J309" s="177">
        <v>5478053294.5737047</v>
      </c>
      <c r="M309" s="275">
        <v>4.157035196544645E-2</v>
      </c>
      <c r="N309" s="123">
        <v>4.5199999999999997E-2</v>
      </c>
      <c r="O309" s="229">
        <v>2E-3</v>
      </c>
      <c r="P309" s="229" t="s">
        <v>608</v>
      </c>
      <c r="Q309" s="229" t="s">
        <v>122</v>
      </c>
      <c r="R309" s="123">
        <v>1E-3</v>
      </c>
      <c r="S309" s="123">
        <v>5.0000000000000001E-3</v>
      </c>
      <c r="T309" s="123">
        <v>8.0000000000000002E-3</v>
      </c>
      <c r="U309" s="177">
        <f t="shared" si="9"/>
        <v>27523871.73828515</v>
      </c>
      <c r="V309" s="177">
        <v>8895839</v>
      </c>
      <c r="W309" s="177">
        <v>0</v>
      </c>
      <c r="X309" s="177">
        <v>14925292.481291365</v>
      </c>
      <c r="Y309" s="177">
        <v>2223967</v>
      </c>
      <c r="Z309" s="177">
        <v>99110.845276625623</v>
      </c>
      <c r="AA309" s="177">
        <v>1379152.6131803459</v>
      </c>
      <c r="AB309" s="177">
        <v>0</v>
      </c>
      <c r="AC309" s="177">
        <v>0</v>
      </c>
      <c r="AD309" s="177">
        <v>0</v>
      </c>
      <c r="AE309" s="177">
        <v>0</v>
      </c>
      <c r="AF309" s="177">
        <v>509.79853681448094</v>
      </c>
      <c r="AG309" s="177">
        <v>0</v>
      </c>
      <c r="AH309" s="177">
        <v>0</v>
      </c>
      <c r="AI309" s="123" t="s">
        <v>122</v>
      </c>
      <c r="AJ309" s="123">
        <v>5.0000000000000001E-3</v>
      </c>
      <c r="AK309" s="177" t="s">
        <v>122</v>
      </c>
      <c r="AL309" s="363"/>
      <c r="AM309" s="364"/>
      <c r="AN309" s="365"/>
      <c r="AO309" s="365"/>
    </row>
    <row r="310" spans="1:41">
      <c r="A310" s="226" t="s">
        <v>1302</v>
      </c>
      <c r="B310" s="121" t="s">
        <v>1303</v>
      </c>
      <c r="C310" s="121" t="s">
        <v>1199</v>
      </c>
      <c r="D310" s="121" t="s">
        <v>43</v>
      </c>
      <c r="E310" s="121" t="s">
        <v>44</v>
      </c>
      <c r="F310" s="121" t="s">
        <v>55</v>
      </c>
      <c r="G310" s="121" t="s">
        <v>58</v>
      </c>
      <c r="H310" s="121" t="s">
        <v>62</v>
      </c>
      <c r="I310" s="121" t="s">
        <v>46</v>
      </c>
      <c r="J310" s="177">
        <v>823337067.54811716</v>
      </c>
      <c r="M310" s="275">
        <v>0.17507929762875118</v>
      </c>
      <c r="N310" s="123">
        <v>0.185</v>
      </c>
      <c r="O310" s="229">
        <v>8.0000000000000002E-3</v>
      </c>
      <c r="P310" s="229" t="s">
        <v>608</v>
      </c>
      <c r="Q310" s="229" t="s">
        <v>122</v>
      </c>
      <c r="R310" s="123">
        <v>1E-3</v>
      </c>
      <c r="S310" s="123">
        <v>1.2999999999999999E-2</v>
      </c>
      <c r="T310" s="123">
        <v>2.1999999999999999E-2</v>
      </c>
      <c r="U310" s="177">
        <f t="shared" si="9"/>
        <v>18266458.212940719</v>
      </c>
      <c r="V310" s="177">
        <v>6313254.4207926076</v>
      </c>
      <c r="W310" s="177">
        <v>0</v>
      </c>
      <c r="X310" s="177">
        <v>9942408.8266035039</v>
      </c>
      <c r="Y310" s="177">
        <v>664915.73869815643</v>
      </c>
      <c r="Z310" s="177">
        <v>1086422.4133311163</v>
      </c>
      <c r="AA310" s="177">
        <v>186351.70595750175</v>
      </c>
      <c r="AB310" s="177">
        <v>0</v>
      </c>
      <c r="AC310" s="177">
        <v>0</v>
      </c>
      <c r="AD310" s="177">
        <v>35058.033178141173</v>
      </c>
      <c r="AE310" s="177">
        <v>35058.033178141173</v>
      </c>
      <c r="AF310" s="177">
        <v>38047.074379693906</v>
      </c>
      <c r="AG310" s="177">
        <v>0</v>
      </c>
      <c r="AH310" s="177">
        <v>0</v>
      </c>
      <c r="AI310" s="123">
        <v>8.8999999999999999E-3</v>
      </c>
      <c r="AJ310" s="123">
        <v>3.1423066166666666E-2</v>
      </c>
      <c r="AK310" s="177">
        <v>1417577.1338535901</v>
      </c>
      <c r="AL310" s="363"/>
      <c r="AM310" s="364"/>
      <c r="AN310" s="365"/>
      <c r="AO310" s="365"/>
    </row>
    <row r="311" spans="1:41">
      <c r="A311" s="226" t="s">
        <v>1304</v>
      </c>
      <c r="B311" s="121" t="s">
        <v>1305</v>
      </c>
      <c r="C311" s="121" t="s">
        <v>1199</v>
      </c>
      <c r="D311" s="121" t="s">
        <v>43</v>
      </c>
      <c r="E311" s="121" t="s">
        <v>44</v>
      </c>
      <c r="F311" s="121" t="s">
        <v>55</v>
      </c>
      <c r="G311" s="121" t="s">
        <v>58</v>
      </c>
      <c r="H311" s="121" t="s">
        <v>62</v>
      </c>
      <c r="I311" s="121" t="s">
        <v>69</v>
      </c>
      <c r="J311" s="177">
        <v>201682793.09498709</v>
      </c>
      <c r="M311" s="275">
        <v>0.14910661930355684</v>
      </c>
      <c r="N311" s="123">
        <v>0.185</v>
      </c>
      <c r="O311" s="229">
        <v>8.0000000000000002E-3</v>
      </c>
      <c r="P311" s="229" t="s">
        <v>608</v>
      </c>
      <c r="Q311" s="229" t="s">
        <v>122</v>
      </c>
      <c r="R311" s="123">
        <v>1E-3</v>
      </c>
      <c r="S311" s="123">
        <v>1.2999999999999999E-2</v>
      </c>
      <c r="T311" s="123">
        <v>2.1999999999999999E-2</v>
      </c>
      <c r="U311" s="177">
        <f t="shared" si="9"/>
        <v>4459536.776409992</v>
      </c>
      <c r="V311" s="177">
        <v>1546480.5792073922</v>
      </c>
      <c r="W311" s="177">
        <v>0</v>
      </c>
      <c r="X311" s="177">
        <v>2420496.3927472099</v>
      </c>
      <c r="Y311" s="177">
        <v>162876.26130184359</v>
      </c>
      <c r="Z311" s="177">
        <v>266127.58666888368</v>
      </c>
      <c r="AA311" s="177">
        <v>45648.294042498252</v>
      </c>
      <c r="AB311" s="177">
        <v>0</v>
      </c>
      <c r="AC311" s="177">
        <v>0</v>
      </c>
      <c r="AD311" s="177">
        <v>8587.7368218588326</v>
      </c>
      <c r="AE311" s="177">
        <v>8587.7368218588326</v>
      </c>
      <c r="AF311" s="177">
        <v>9319.9256203060977</v>
      </c>
      <c r="AG311" s="177">
        <v>0</v>
      </c>
      <c r="AH311" s="177">
        <v>0</v>
      </c>
      <c r="AI311" s="123">
        <v>8.8999999999999999E-3</v>
      </c>
      <c r="AJ311" s="123">
        <v>3.1623066166666665E-2</v>
      </c>
      <c r="AK311" s="177">
        <v>278922.31825030397</v>
      </c>
      <c r="AL311" s="363"/>
      <c r="AM311" s="364"/>
      <c r="AN311" s="365"/>
      <c r="AO311" s="365"/>
    </row>
    <row r="312" spans="1:41">
      <c r="A312" s="226" t="s">
        <v>1306</v>
      </c>
      <c r="B312" s="121" t="s">
        <v>1307</v>
      </c>
      <c r="C312" s="121" t="s">
        <v>1199</v>
      </c>
      <c r="D312" s="121" t="s">
        <v>43</v>
      </c>
      <c r="E312" s="121" t="s">
        <v>44</v>
      </c>
      <c r="F312" s="121" t="s">
        <v>55</v>
      </c>
      <c r="G312" s="121" t="s">
        <v>88</v>
      </c>
      <c r="H312" s="121" t="s">
        <v>45</v>
      </c>
      <c r="I312" s="121" t="s">
        <v>46</v>
      </c>
      <c r="J312" s="177">
        <v>22448020803.032257</v>
      </c>
      <c r="M312" s="275">
        <v>4.3727703402508755E-2</v>
      </c>
      <c r="N312" s="123">
        <v>7.400000000000001E-2</v>
      </c>
      <c r="O312" s="229">
        <v>3.0000000000000001E-3</v>
      </c>
      <c r="P312" s="229" t="s">
        <v>608</v>
      </c>
      <c r="Q312" s="229" t="s">
        <v>122</v>
      </c>
      <c r="R312" s="123">
        <v>1E-3</v>
      </c>
      <c r="S312" s="123">
        <v>6.0000000000000001E-3</v>
      </c>
      <c r="T312" s="123">
        <v>0.01</v>
      </c>
      <c r="U312" s="177">
        <f t="shared" si="9"/>
        <v>39683099.676588014</v>
      </c>
      <c r="V312" s="177">
        <v>13285521</v>
      </c>
      <c r="W312" s="177">
        <v>0</v>
      </c>
      <c r="X312" s="177">
        <v>18368744.676588014</v>
      </c>
      <c r="Y312" s="177">
        <v>0</v>
      </c>
      <c r="Z312" s="177">
        <v>2343150</v>
      </c>
      <c r="AA312" s="177">
        <v>5656000</v>
      </c>
      <c r="AB312" s="177">
        <v>0</v>
      </c>
      <c r="AC312" s="177">
        <v>0</v>
      </c>
      <c r="AD312" s="177">
        <v>0</v>
      </c>
      <c r="AE312" s="177">
        <v>0</v>
      </c>
      <c r="AF312" s="177">
        <v>29684</v>
      </c>
      <c r="AG312" s="177">
        <v>0</v>
      </c>
      <c r="AH312" s="177">
        <v>0</v>
      </c>
      <c r="AI312" s="123">
        <v>1.1900000000000001E-2</v>
      </c>
      <c r="AJ312" s="123">
        <v>1.5538788166666664E-2</v>
      </c>
      <c r="AK312" s="177">
        <v>2053713.3286567701</v>
      </c>
      <c r="AL312" s="363"/>
      <c r="AM312" s="364"/>
      <c r="AN312" s="365"/>
      <c r="AO312" s="365"/>
    </row>
    <row r="313" spans="1:41">
      <c r="A313" s="226" t="s">
        <v>1308</v>
      </c>
      <c r="B313" s="121" t="s">
        <v>1309</v>
      </c>
      <c r="C313" s="121" t="s">
        <v>1199</v>
      </c>
      <c r="D313" s="121" t="s">
        <v>43</v>
      </c>
      <c r="E313" s="121" t="s">
        <v>44</v>
      </c>
      <c r="F313" s="121" t="s">
        <v>55</v>
      </c>
      <c r="G313" s="121" t="s">
        <v>88</v>
      </c>
      <c r="H313" s="121" t="s">
        <v>45</v>
      </c>
      <c r="I313" s="121" t="s">
        <v>46</v>
      </c>
      <c r="J313" s="177">
        <v>4773700150.5934963</v>
      </c>
      <c r="M313" s="275">
        <v>6.8669604683589958E-2</v>
      </c>
      <c r="N313" s="123">
        <v>0.1124</v>
      </c>
      <c r="O313" s="229">
        <v>3.0000000000000001E-3</v>
      </c>
      <c r="P313" s="229" t="s">
        <v>608</v>
      </c>
      <c r="Q313" s="229" t="s">
        <v>122</v>
      </c>
      <c r="R313" s="123">
        <v>1E-3</v>
      </c>
      <c r="S313" s="123">
        <v>6.0000000000000001E-3</v>
      </c>
      <c r="T313" s="123">
        <v>0.01</v>
      </c>
      <c r="U313" s="177">
        <f t="shared" si="9"/>
        <v>20173281.594871722</v>
      </c>
      <c r="V313" s="177">
        <v>6874896</v>
      </c>
      <c r="W313" s="177">
        <v>0</v>
      </c>
      <c r="X313" s="177">
        <v>9724725.5948717222</v>
      </c>
      <c r="Y313" s="177">
        <v>0</v>
      </c>
      <c r="Z313" s="177">
        <v>2343150</v>
      </c>
      <c r="AA313" s="177">
        <v>1201000</v>
      </c>
      <c r="AB313" s="177">
        <v>0</v>
      </c>
      <c r="AC313" s="177">
        <v>0</v>
      </c>
      <c r="AD313" s="177">
        <v>0</v>
      </c>
      <c r="AE313" s="177">
        <v>0</v>
      </c>
      <c r="AF313" s="177">
        <v>29510</v>
      </c>
      <c r="AG313" s="177">
        <v>0</v>
      </c>
      <c r="AH313" s="177">
        <v>0</v>
      </c>
      <c r="AI313" s="123">
        <v>1.03E-2</v>
      </c>
      <c r="AJ313" s="123">
        <v>1.5467338166666664E-2</v>
      </c>
      <c r="AK313" s="177">
        <v>1564926.59623312</v>
      </c>
      <c r="AL313" s="363"/>
      <c r="AM313" s="364"/>
      <c r="AN313" s="365"/>
      <c r="AO313" s="365"/>
    </row>
    <row r="314" spans="1:41">
      <c r="A314" s="226" t="s">
        <v>1310</v>
      </c>
      <c r="B314" s="121" t="s">
        <v>1311</v>
      </c>
      <c r="C314" s="121" t="s">
        <v>1199</v>
      </c>
      <c r="D314" s="121" t="s">
        <v>43</v>
      </c>
      <c r="E314" s="121" t="s">
        <v>44</v>
      </c>
      <c r="F314" s="121" t="s">
        <v>55</v>
      </c>
      <c r="G314" s="121" t="s">
        <v>830</v>
      </c>
      <c r="H314" s="121" t="s">
        <v>45</v>
      </c>
      <c r="I314" s="121" t="s">
        <v>46</v>
      </c>
      <c r="J314" s="177">
        <v>1910689401.7531381</v>
      </c>
      <c r="M314" s="275">
        <v>6.9924692329399685E-2</v>
      </c>
      <c r="N314" s="123">
        <v>0.106</v>
      </c>
      <c r="O314" s="229">
        <v>3.0000000000000001E-3</v>
      </c>
      <c r="P314" s="229" t="s">
        <v>608</v>
      </c>
      <c r="Q314" s="229" t="s">
        <v>122</v>
      </c>
      <c r="R314" s="123">
        <v>1E-3</v>
      </c>
      <c r="S314" s="123">
        <v>6.0000000000000001E-3</v>
      </c>
      <c r="T314" s="123">
        <v>0.01</v>
      </c>
      <c r="U314" s="177">
        <f t="shared" si="9"/>
        <v>13295196.507608289</v>
      </c>
      <c r="V314" s="177">
        <v>4319789</v>
      </c>
      <c r="W314" s="177">
        <v>0</v>
      </c>
      <c r="X314" s="177">
        <v>6165247.5076082889</v>
      </c>
      <c r="Y314" s="177">
        <v>0</v>
      </c>
      <c r="Z314" s="177">
        <v>2343150</v>
      </c>
      <c r="AA314" s="177">
        <v>440000</v>
      </c>
      <c r="AB314" s="177">
        <v>0</v>
      </c>
      <c r="AC314" s="177">
        <v>0</v>
      </c>
      <c r="AD314" s="177">
        <v>0</v>
      </c>
      <c r="AE314" s="177">
        <v>0</v>
      </c>
      <c r="AF314" s="177">
        <v>27010</v>
      </c>
      <c r="AG314" s="177">
        <v>0</v>
      </c>
      <c r="AH314" s="177">
        <v>0</v>
      </c>
      <c r="AI314" s="123">
        <v>7.7999999999999996E-3</v>
      </c>
      <c r="AJ314" s="123">
        <v>1.8738943000000004E-2</v>
      </c>
      <c r="AK314" s="177">
        <v>1448582.7554691101</v>
      </c>
      <c r="AL314" s="363"/>
      <c r="AM314" s="364"/>
      <c r="AN314" s="365"/>
      <c r="AO314" s="365"/>
    </row>
    <row r="315" spans="1:41">
      <c r="A315" s="226" t="s">
        <v>1312</v>
      </c>
      <c r="B315" s="121" t="s">
        <v>1313</v>
      </c>
      <c r="C315" s="121" t="s">
        <v>1199</v>
      </c>
      <c r="D315" s="121" t="s">
        <v>43</v>
      </c>
      <c r="E315" s="121" t="s">
        <v>44</v>
      </c>
      <c r="F315" s="121" t="s">
        <v>55</v>
      </c>
      <c r="G315" s="121" t="s">
        <v>61</v>
      </c>
      <c r="H315" s="121" t="s">
        <v>62</v>
      </c>
      <c r="I315" s="121" t="s">
        <v>46</v>
      </c>
      <c r="J315" s="177">
        <v>924287972.07531381</v>
      </c>
      <c r="M315" s="275">
        <v>7.6188712814057924E-2</v>
      </c>
      <c r="N315" s="123">
        <v>8.5999999999999993E-2</v>
      </c>
      <c r="O315" s="229">
        <v>3.0000000000000001E-3</v>
      </c>
      <c r="P315" s="229" t="s">
        <v>608</v>
      </c>
      <c r="Q315" s="229" t="s">
        <v>122</v>
      </c>
      <c r="R315" s="123">
        <v>1E-3</v>
      </c>
      <c r="S315" s="123">
        <v>6.0000000000000001E-3</v>
      </c>
      <c r="T315" s="123">
        <v>0.01</v>
      </c>
      <c r="U315" s="177">
        <f t="shared" si="9"/>
        <v>7865731.2946895389</v>
      </c>
      <c r="V315" s="177">
        <v>2182453</v>
      </c>
      <c r="W315" s="177">
        <v>0</v>
      </c>
      <c r="X315" s="177">
        <v>3102618.2946895389</v>
      </c>
      <c r="Y315" s="177">
        <v>0</v>
      </c>
      <c r="Z315" s="177">
        <v>2343150</v>
      </c>
      <c r="AA315" s="177">
        <v>213000</v>
      </c>
      <c r="AB315" s="177">
        <v>0</v>
      </c>
      <c r="AC315" s="177">
        <v>0</v>
      </c>
      <c r="AD315" s="177">
        <v>0</v>
      </c>
      <c r="AE315" s="177">
        <v>0</v>
      </c>
      <c r="AF315" s="177">
        <v>24510</v>
      </c>
      <c r="AG315" s="177">
        <v>0</v>
      </c>
      <c r="AH315" s="177">
        <v>0</v>
      </c>
      <c r="AI315" s="123">
        <v>1.2800000000000001E-2</v>
      </c>
      <c r="AJ315" s="123">
        <v>2.1506025333333331E-2</v>
      </c>
      <c r="AK315" s="177">
        <v>1003738.53995119</v>
      </c>
      <c r="AL315" s="363"/>
      <c r="AM315" s="364"/>
      <c r="AN315" s="365"/>
      <c r="AO315" s="365"/>
    </row>
    <row r="316" spans="1:41">
      <c r="A316" s="226" t="s">
        <v>1314</v>
      </c>
      <c r="B316" s="121" t="s">
        <v>1315</v>
      </c>
      <c r="C316" s="121" t="s">
        <v>1199</v>
      </c>
      <c r="D316" s="121" t="s">
        <v>553</v>
      </c>
      <c r="E316" s="121" t="s">
        <v>621</v>
      </c>
      <c r="F316" s="121" t="s">
        <v>884</v>
      </c>
      <c r="G316" s="121" t="s">
        <v>622</v>
      </c>
      <c r="H316" s="121" t="s">
        <v>45</v>
      </c>
      <c r="I316" s="121" t="s">
        <v>46</v>
      </c>
      <c r="J316" s="177">
        <v>4131315846.6932273</v>
      </c>
      <c r="K316" s="177">
        <v>360645300</v>
      </c>
      <c r="L316" s="366">
        <v>41625</v>
      </c>
      <c r="M316" s="275">
        <v>4.2740662485234449E-3</v>
      </c>
      <c r="N316" s="123">
        <v>5.7099999999999998E-2</v>
      </c>
      <c r="O316" s="229">
        <v>0.05</v>
      </c>
      <c r="P316" s="229" t="s">
        <v>608</v>
      </c>
      <c r="Q316" s="229" t="s">
        <v>122</v>
      </c>
      <c r="R316" s="123">
        <v>1E-3</v>
      </c>
      <c r="S316" s="123">
        <v>6.7000000000000004E-2</v>
      </c>
      <c r="T316" s="123">
        <v>0.11800000000000001</v>
      </c>
      <c r="U316" s="177" t="e">
        <f t="shared" si="9"/>
        <v>#REF!</v>
      </c>
      <c r="V316" s="177" t="e">
        <v>#REF!</v>
      </c>
      <c r="W316" s="177">
        <v>0</v>
      </c>
      <c r="X316" s="177" t="e">
        <v>#REF!</v>
      </c>
      <c r="Y316" s="177">
        <v>1614147</v>
      </c>
      <c r="Z316" s="177">
        <v>1020064</v>
      </c>
      <c r="AA316" s="177">
        <v>0</v>
      </c>
      <c r="AB316" s="177">
        <v>0</v>
      </c>
      <c r="AC316" s="177">
        <v>0</v>
      </c>
      <c r="AD316" s="177">
        <v>0</v>
      </c>
      <c r="AE316" s="177">
        <v>0</v>
      </c>
      <c r="AF316" s="177">
        <v>0</v>
      </c>
      <c r="AG316" s="177">
        <v>0</v>
      </c>
      <c r="AH316" s="177">
        <v>0</v>
      </c>
      <c r="AI316" s="123" t="s">
        <v>122</v>
      </c>
      <c r="AJ316" s="123">
        <v>3.0999999999999999E-3</v>
      </c>
      <c r="AK316" s="177" t="s">
        <v>122</v>
      </c>
      <c r="AL316" s="363"/>
      <c r="AM316" s="364"/>
      <c r="AN316" s="365"/>
      <c r="AO316" s="365"/>
    </row>
    <row r="317" spans="1:41">
      <c r="A317" s="226" t="s">
        <v>1316</v>
      </c>
      <c r="B317" s="121" t="s">
        <v>1317</v>
      </c>
      <c r="C317" s="121" t="s">
        <v>1199</v>
      </c>
      <c r="D317" s="121" t="s">
        <v>553</v>
      </c>
      <c r="E317" s="121" t="s">
        <v>621</v>
      </c>
      <c r="F317" s="121" t="s">
        <v>884</v>
      </c>
      <c r="G317" s="121" t="s">
        <v>622</v>
      </c>
      <c r="H317" s="121" t="s">
        <v>45</v>
      </c>
      <c r="I317" s="121" t="s">
        <v>46</v>
      </c>
      <c r="J317" s="177">
        <v>2749281957.8326693</v>
      </c>
      <c r="K317" s="177">
        <v>260182000</v>
      </c>
      <c r="L317" s="366">
        <v>41383</v>
      </c>
      <c r="M317" s="275">
        <v>1.084165809736759E-2</v>
      </c>
      <c r="N317" s="123">
        <v>5.7099999999999998E-2</v>
      </c>
      <c r="O317" s="229">
        <v>0.05</v>
      </c>
      <c r="P317" s="229" t="s">
        <v>608</v>
      </c>
      <c r="Q317" s="229" t="s">
        <v>122</v>
      </c>
      <c r="R317" s="123">
        <v>1E-3</v>
      </c>
      <c r="S317" s="123">
        <v>6.7000000000000004E-2</v>
      </c>
      <c r="T317" s="123">
        <v>0.11800000000000001</v>
      </c>
      <c r="U317" s="177" t="e">
        <f t="shared" si="9"/>
        <v>#REF!</v>
      </c>
      <c r="V317" s="177" t="e">
        <v>#REF!</v>
      </c>
      <c r="W317" s="177">
        <v>0</v>
      </c>
      <c r="X317" s="177" t="e">
        <v>#REF!</v>
      </c>
      <c r="Y317" s="177">
        <v>1013588</v>
      </c>
      <c r="Z317" s="177">
        <v>1020064</v>
      </c>
      <c r="AA317" s="177">
        <v>0</v>
      </c>
      <c r="AB317" s="177">
        <v>0</v>
      </c>
      <c r="AC317" s="177">
        <v>0</v>
      </c>
      <c r="AD317" s="177">
        <v>0</v>
      </c>
      <c r="AE317" s="177">
        <v>0</v>
      </c>
      <c r="AF317" s="177">
        <v>0</v>
      </c>
      <c r="AG317" s="177">
        <v>0</v>
      </c>
      <c r="AH317" s="177">
        <v>0</v>
      </c>
      <c r="AI317" s="123" t="s">
        <v>122</v>
      </c>
      <c r="AJ317" s="123">
        <v>3.0999999999999999E-3</v>
      </c>
      <c r="AK317" s="177" t="s">
        <v>122</v>
      </c>
      <c r="AL317" s="363"/>
      <c r="AM317" s="364"/>
      <c r="AN317" s="365"/>
      <c r="AO317" s="365"/>
    </row>
    <row r="318" spans="1:41">
      <c r="A318" s="226" t="s">
        <v>1318</v>
      </c>
      <c r="B318" s="121" t="s">
        <v>1319</v>
      </c>
      <c r="C318" s="121" t="s">
        <v>1199</v>
      </c>
      <c r="D318" s="121" t="s">
        <v>553</v>
      </c>
      <c r="E318" s="121" t="s">
        <v>621</v>
      </c>
      <c r="F318" s="121" t="s">
        <v>884</v>
      </c>
      <c r="G318" s="121" t="s">
        <v>622</v>
      </c>
      <c r="H318" s="121" t="s">
        <v>45</v>
      </c>
      <c r="I318" s="121" t="s">
        <v>46</v>
      </c>
      <c r="J318" s="177">
        <v>2948709.2460784316</v>
      </c>
      <c r="M318" s="275">
        <v>6.7565398883913108E-3</v>
      </c>
      <c r="N318" s="123">
        <v>5.7099999999999998E-2</v>
      </c>
      <c r="O318" s="229">
        <v>0.05</v>
      </c>
      <c r="P318" s="229" t="s">
        <v>608</v>
      </c>
      <c r="Q318" s="229" t="s">
        <v>122</v>
      </c>
      <c r="R318" s="123">
        <v>1E-3</v>
      </c>
      <c r="S318" s="123">
        <v>6.7000000000000004E-2</v>
      </c>
      <c r="T318" s="123">
        <v>0.11800000000000001</v>
      </c>
      <c r="U318" s="177">
        <f t="shared" si="9"/>
        <v>34980.379999999997</v>
      </c>
      <c r="V318" s="177">
        <v>11659.39</v>
      </c>
      <c r="W318" s="177">
        <v>0</v>
      </c>
      <c r="X318" s="177">
        <v>17489.07</v>
      </c>
      <c r="Y318" s="177">
        <v>1166.1399999999999</v>
      </c>
      <c r="Z318" s="177">
        <v>3937</v>
      </c>
      <c r="AA318" s="177">
        <v>728.78</v>
      </c>
      <c r="AB318" s="177">
        <v>0</v>
      </c>
      <c r="AC318" s="177">
        <v>0</v>
      </c>
      <c r="AD318" s="177">
        <v>0</v>
      </c>
      <c r="AE318" s="177">
        <v>0</v>
      </c>
      <c r="AF318" s="177">
        <v>0</v>
      </c>
      <c r="AG318" s="177">
        <v>0</v>
      </c>
      <c r="AH318" s="177">
        <v>0</v>
      </c>
      <c r="AI318" s="123" t="s">
        <v>122</v>
      </c>
      <c r="AJ318" s="123">
        <v>1.1900000000000001E-2</v>
      </c>
      <c r="AK318" s="177" t="s">
        <v>122</v>
      </c>
      <c r="AL318" s="363"/>
      <c r="AM318" s="364"/>
      <c r="AN318" s="365"/>
      <c r="AO318" s="365"/>
    </row>
    <row r="319" spans="1:41">
      <c r="A319" s="226" t="s">
        <v>1320</v>
      </c>
      <c r="B319" s="121" t="s">
        <v>1321</v>
      </c>
      <c r="C319" s="121" t="s">
        <v>1199</v>
      </c>
      <c r="D319" s="121" t="s">
        <v>553</v>
      </c>
      <c r="E319" s="121" t="s">
        <v>621</v>
      </c>
      <c r="F319" s="121" t="s">
        <v>884</v>
      </c>
      <c r="G319" s="121" t="s">
        <v>622</v>
      </c>
      <c r="H319" s="121" t="s">
        <v>45</v>
      </c>
      <c r="I319" s="121" t="s">
        <v>46</v>
      </c>
      <c r="J319" s="177">
        <v>1729825249.0196078</v>
      </c>
      <c r="M319" s="275">
        <v>1.7329066895636958E-2</v>
      </c>
      <c r="N319" s="123">
        <v>5.7099999999999998E-2</v>
      </c>
      <c r="O319" s="229">
        <v>0.05</v>
      </c>
      <c r="P319" s="229" t="s">
        <v>608</v>
      </c>
      <c r="Q319" s="229" t="s">
        <v>122</v>
      </c>
      <c r="R319" s="123">
        <v>1E-3</v>
      </c>
      <c r="S319" s="123">
        <v>6.7000000000000004E-2</v>
      </c>
      <c r="T319" s="123">
        <v>0.11800000000000001</v>
      </c>
      <c r="U319" s="177">
        <f t="shared" si="9"/>
        <v>19226218</v>
      </c>
      <c r="V319" s="177">
        <v>6838129</v>
      </c>
      <c r="W319" s="177">
        <v>0</v>
      </c>
      <c r="X319" s="177">
        <v>10257206</v>
      </c>
      <c r="Y319" s="177">
        <v>683819</v>
      </c>
      <c r="Z319" s="177">
        <v>1020064</v>
      </c>
      <c r="AA319" s="177">
        <v>427000</v>
      </c>
      <c r="AB319" s="177">
        <v>0</v>
      </c>
      <c r="AC319" s="177">
        <v>0</v>
      </c>
      <c r="AD319" s="177">
        <v>0</v>
      </c>
      <c r="AE319" s="177">
        <v>0</v>
      </c>
      <c r="AF319" s="177">
        <v>0</v>
      </c>
      <c r="AG319" s="177">
        <v>0</v>
      </c>
      <c r="AH319" s="177">
        <v>0</v>
      </c>
      <c r="AI319" s="123" t="s">
        <v>122</v>
      </c>
      <c r="AJ319" s="123">
        <v>1.11E-2</v>
      </c>
      <c r="AK319" s="177" t="s">
        <v>122</v>
      </c>
      <c r="AL319" s="363"/>
      <c r="AM319" s="364"/>
      <c r="AN319" s="365"/>
      <c r="AO319" s="365"/>
    </row>
    <row r="320" spans="1:41">
      <c r="A320" s="226" t="s">
        <v>1322</v>
      </c>
      <c r="B320" s="121" t="s">
        <v>1323</v>
      </c>
      <c r="C320" s="121" t="s">
        <v>1199</v>
      </c>
      <c r="D320" s="121" t="s">
        <v>43</v>
      </c>
      <c r="E320" s="121" t="s">
        <v>44</v>
      </c>
      <c r="F320" s="121" t="s">
        <v>55</v>
      </c>
      <c r="G320" s="121" t="s">
        <v>88</v>
      </c>
      <c r="H320" s="121" t="s">
        <v>62</v>
      </c>
      <c r="I320" s="121" t="s">
        <v>46</v>
      </c>
      <c r="J320" s="177">
        <v>23727372499.612244</v>
      </c>
      <c r="M320" s="275">
        <v>0.12044091271281276</v>
      </c>
      <c r="N320" s="123">
        <v>5.7099999999999998E-2</v>
      </c>
      <c r="P320" s="229" t="s">
        <v>608</v>
      </c>
      <c r="Q320" s="229" t="s">
        <v>122</v>
      </c>
      <c r="U320" s="177">
        <f t="shared" si="9"/>
        <v>499509133.53669995</v>
      </c>
      <c r="V320" s="177">
        <v>143106202</v>
      </c>
      <c r="W320" s="177">
        <v>0</v>
      </c>
      <c r="X320" s="177">
        <v>179058122</v>
      </c>
      <c r="Y320" s="177">
        <v>0</v>
      </c>
      <c r="Z320" s="177">
        <v>0</v>
      </c>
      <c r="AA320" s="177">
        <v>5984000</v>
      </c>
      <c r="AB320" s="177">
        <v>0</v>
      </c>
      <c r="AC320" s="177">
        <v>0</v>
      </c>
      <c r="AD320" s="177">
        <v>166226474.98199993</v>
      </c>
      <c r="AE320" s="177">
        <v>0</v>
      </c>
      <c r="AF320" s="177">
        <v>5134334.5547000002</v>
      </c>
      <c r="AG320" s="177">
        <v>0</v>
      </c>
      <c r="AH320" s="177">
        <v>0</v>
      </c>
      <c r="AI320" s="123">
        <v>1.8E-3</v>
      </c>
      <c r="AJ320" s="123">
        <v>2.3240013351985295E-2</v>
      </c>
      <c r="AK320" s="177">
        <v>78676463.979847103</v>
      </c>
      <c r="AL320" s="363"/>
      <c r="AM320" s="364"/>
      <c r="AN320" s="365"/>
      <c r="AO320" s="365"/>
    </row>
    <row r="321" spans="1:41">
      <c r="A321" s="226" t="s">
        <v>1324</v>
      </c>
      <c r="B321" s="121" t="s">
        <v>1325</v>
      </c>
      <c r="C321" s="121" t="s">
        <v>1199</v>
      </c>
      <c r="D321" s="121" t="s">
        <v>553</v>
      </c>
      <c r="E321" s="121" t="s">
        <v>621</v>
      </c>
      <c r="F321" s="121" t="s">
        <v>884</v>
      </c>
      <c r="G321" s="121" t="s">
        <v>622</v>
      </c>
      <c r="H321" s="121" t="s">
        <v>45</v>
      </c>
      <c r="I321" s="121" t="s">
        <v>46</v>
      </c>
      <c r="J321" s="177">
        <v>3014670.8524701199</v>
      </c>
      <c r="K321" s="177">
        <v>103204.5</v>
      </c>
      <c r="L321" s="366">
        <v>41296</v>
      </c>
      <c r="M321" s="275">
        <v>2.8215198496577276E-3</v>
      </c>
      <c r="N321" s="123">
        <v>8.0000000000000004E-4</v>
      </c>
      <c r="O321" s="229">
        <v>0.05</v>
      </c>
      <c r="P321" s="229" t="s">
        <v>608</v>
      </c>
      <c r="Q321" s="229" t="s">
        <v>122</v>
      </c>
      <c r="R321" s="123">
        <v>1E-3</v>
      </c>
      <c r="S321" s="123">
        <v>6.7000000000000004E-2</v>
      </c>
      <c r="T321" s="123">
        <v>0.11800000000000001</v>
      </c>
      <c r="U321" s="177" t="e">
        <f t="shared" si="9"/>
        <v>#REF!</v>
      </c>
      <c r="V321" s="177" t="e">
        <v>#REF!</v>
      </c>
      <c r="W321" s="177">
        <v>0</v>
      </c>
      <c r="X321" s="177" t="e">
        <v>#REF!</v>
      </c>
      <c r="Y321" s="177">
        <v>1006.6700000000001</v>
      </c>
      <c r="Z321" s="177">
        <v>3937</v>
      </c>
      <c r="AA321" s="177">
        <v>0</v>
      </c>
      <c r="AB321" s="177">
        <v>0</v>
      </c>
      <c r="AC321" s="177">
        <v>0</v>
      </c>
      <c r="AD321" s="177">
        <v>0</v>
      </c>
      <c r="AE321" s="177">
        <v>0</v>
      </c>
      <c r="AF321" s="177">
        <v>0</v>
      </c>
      <c r="AG321" s="177">
        <v>0</v>
      </c>
      <c r="AH321" s="177">
        <v>0</v>
      </c>
      <c r="AI321" s="123" t="s">
        <v>122</v>
      </c>
      <c r="AJ321" s="123">
        <v>3.5999999999999999E-3</v>
      </c>
      <c r="AK321" s="177" t="s">
        <v>122</v>
      </c>
      <c r="AL321" s="363"/>
      <c r="AM321" s="364"/>
      <c r="AN321" s="365"/>
      <c r="AO321" s="365"/>
    </row>
    <row r="322" spans="1:41">
      <c r="A322" s="226" t="s">
        <v>1326</v>
      </c>
      <c r="B322" s="121" t="s">
        <v>1327</v>
      </c>
      <c r="C322" s="121" t="s">
        <v>1199</v>
      </c>
      <c r="D322" s="121" t="s">
        <v>553</v>
      </c>
      <c r="E322" s="121" t="s">
        <v>621</v>
      </c>
      <c r="F322" s="121" t="s">
        <v>884</v>
      </c>
      <c r="G322" s="121" t="s">
        <v>622</v>
      </c>
      <c r="H322" s="121" t="s">
        <v>45</v>
      </c>
      <c r="I322" s="121" t="s">
        <v>46</v>
      </c>
      <c r="J322" s="177">
        <v>1048335754.0159363</v>
      </c>
      <c r="M322" s="275">
        <v>-7.4971740980944723E-3</v>
      </c>
      <c r="N322" s="123">
        <v>5.7099999999999998E-2</v>
      </c>
      <c r="O322" s="229">
        <v>0.05</v>
      </c>
      <c r="P322" s="229" t="s">
        <v>608</v>
      </c>
      <c r="Q322" s="229" t="s">
        <v>122</v>
      </c>
      <c r="R322" s="123">
        <v>1E-3</v>
      </c>
      <c r="S322" s="123">
        <v>6.7000000000000004E-2</v>
      </c>
      <c r="T322" s="123">
        <v>0.11800000000000001</v>
      </c>
      <c r="U322" s="177" t="e">
        <f t="shared" si="9"/>
        <v>#REF!</v>
      </c>
      <c r="V322" s="177" t="e">
        <v>#REF!</v>
      </c>
      <c r="W322" s="177">
        <v>0</v>
      </c>
      <c r="X322" s="177" t="e">
        <v>#REF!</v>
      </c>
      <c r="Y322" s="177">
        <v>424405</v>
      </c>
      <c r="Z322" s="177">
        <v>1020064</v>
      </c>
      <c r="AA322" s="177">
        <v>0</v>
      </c>
      <c r="AB322" s="177">
        <v>0</v>
      </c>
      <c r="AC322" s="177">
        <v>0</v>
      </c>
      <c r="AD322" s="177">
        <v>0</v>
      </c>
      <c r="AE322" s="177">
        <v>0</v>
      </c>
      <c r="AF322" s="177">
        <v>0</v>
      </c>
      <c r="AG322" s="177">
        <v>0</v>
      </c>
      <c r="AH322" s="177">
        <v>0</v>
      </c>
      <c r="AI322" s="123" t="s">
        <v>122</v>
      </c>
      <c r="AJ322" s="123">
        <v>4.0000000000000001E-3</v>
      </c>
      <c r="AK322" s="177" t="s">
        <v>122</v>
      </c>
      <c r="AL322" s="363"/>
      <c r="AM322" s="364"/>
      <c r="AN322" s="365"/>
      <c r="AO322" s="365"/>
    </row>
    <row r="323" spans="1:41">
      <c r="A323" s="226" t="s">
        <v>1328</v>
      </c>
      <c r="B323" s="121" t="s">
        <v>1329</v>
      </c>
      <c r="C323" s="121" t="s">
        <v>1199</v>
      </c>
      <c r="D323" s="121" t="s">
        <v>553</v>
      </c>
      <c r="E323" s="121" t="s">
        <v>621</v>
      </c>
      <c r="F323" s="121" t="s">
        <v>884</v>
      </c>
      <c r="G323" s="121" t="s">
        <v>622</v>
      </c>
      <c r="H323" s="121" t="s">
        <v>45</v>
      </c>
      <c r="I323" s="121" t="s">
        <v>46</v>
      </c>
      <c r="J323" s="177">
        <v>1613399401.8446214</v>
      </c>
      <c r="M323" s="275">
        <v>0.27496457553423759</v>
      </c>
      <c r="N323" s="123">
        <v>5.7099999999999998E-2</v>
      </c>
      <c r="O323" s="229">
        <v>0.05</v>
      </c>
      <c r="P323" s="229" t="s">
        <v>608</v>
      </c>
      <c r="Q323" s="229" t="s">
        <v>122</v>
      </c>
      <c r="R323" s="123">
        <v>1E-3</v>
      </c>
      <c r="S323" s="123">
        <v>6.7000000000000004E-2</v>
      </c>
      <c r="T323" s="123">
        <v>0.11800000000000001</v>
      </c>
      <c r="U323" s="177" t="e">
        <f t="shared" ref="U323:U332" si="10">SUM(V323:AH323)-AE323</f>
        <v>#REF!</v>
      </c>
      <c r="V323" s="177" t="e">
        <v>#REF!</v>
      </c>
      <c r="W323" s="177">
        <v>0</v>
      </c>
      <c r="X323" s="177" t="e">
        <v>#REF!</v>
      </c>
      <c r="Y323" s="177">
        <v>494856</v>
      </c>
      <c r="Z323" s="177">
        <v>1020064</v>
      </c>
      <c r="AA323" s="177">
        <v>0</v>
      </c>
      <c r="AB323" s="177">
        <v>0</v>
      </c>
      <c r="AC323" s="177">
        <v>0</v>
      </c>
      <c r="AD323" s="177">
        <v>0</v>
      </c>
      <c r="AE323" s="177">
        <v>0</v>
      </c>
      <c r="AF323" s="177">
        <v>0</v>
      </c>
      <c r="AG323" s="177">
        <v>0</v>
      </c>
      <c r="AH323" s="177">
        <v>0</v>
      </c>
      <c r="AI323" s="123" t="s">
        <v>122</v>
      </c>
      <c r="AJ323" s="123">
        <v>2.8999999999999998E-3</v>
      </c>
      <c r="AK323" s="177" t="s">
        <v>122</v>
      </c>
      <c r="AL323" s="363"/>
      <c r="AM323" s="364"/>
      <c r="AN323" s="365"/>
      <c r="AO323" s="365"/>
    </row>
    <row r="324" spans="1:41">
      <c r="A324" s="226" t="s">
        <v>1330</v>
      </c>
      <c r="B324" s="121" t="s">
        <v>1331</v>
      </c>
      <c r="C324" s="121" t="s">
        <v>1199</v>
      </c>
      <c r="D324" s="121" t="s">
        <v>553</v>
      </c>
      <c r="E324" s="121" t="s">
        <v>621</v>
      </c>
      <c r="F324" s="121" t="s">
        <v>884</v>
      </c>
      <c r="G324" s="121" t="s">
        <v>622</v>
      </c>
      <c r="H324" s="121" t="s">
        <v>45</v>
      </c>
      <c r="I324" s="121" t="s">
        <v>46</v>
      </c>
      <c r="J324" s="177">
        <v>2094698670.7370517</v>
      </c>
      <c r="M324" s="275">
        <v>0.2747408397029405</v>
      </c>
      <c r="N324" s="123">
        <v>5.7099999999999998E-2</v>
      </c>
      <c r="O324" s="229">
        <v>0.05</v>
      </c>
      <c r="P324" s="229" t="s">
        <v>608</v>
      </c>
      <c r="Q324" s="229" t="s">
        <v>122</v>
      </c>
      <c r="R324" s="123">
        <v>1E-3</v>
      </c>
      <c r="S324" s="123">
        <v>6.7000000000000004E-2</v>
      </c>
      <c r="T324" s="123">
        <v>0.11800000000000001</v>
      </c>
      <c r="U324" s="177" t="e">
        <f t="shared" si="10"/>
        <v>#REF!</v>
      </c>
      <c r="V324" s="177" t="e">
        <v>#REF!</v>
      </c>
      <c r="W324" s="177">
        <v>0</v>
      </c>
      <c r="X324" s="177" t="e">
        <v>#REF!</v>
      </c>
      <c r="Y324" s="177">
        <v>655576</v>
      </c>
      <c r="Z324" s="177">
        <v>1020064</v>
      </c>
      <c r="AA324" s="177">
        <v>0</v>
      </c>
      <c r="AB324" s="177">
        <v>0</v>
      </c>
      <c r="AC324" s="177">
        <v>0</v>
      </c>
      <c r="AD324" s="177">
        <v>0</v>
      </c>
      <c r="AE324" s="177">
        <v>0</v>
      </c>
      <c r="AF324" s="177">
        <v>0</v>
      </c>
      <c r="AG324" s="177">
        <v>0</v>
      </c>
      <c r="AH324" s="177">
        <v>0</v>
      </c>
      <c r="AI324" s="123" t="s">
        <v>122</v>
      </c>
      <c r="AJ324" s="123">
        <v>2.8E-3</v>
      </c>
      <c r="AK324" s="177" t="s">
        <v>122</v>
      </c>
      <c r="AL324" s="363"/>
      <c r="AM324" s="364"/>
      <c r="AN324" s="365"/>
      <c r="AO324" s="365"/>
    </row>
    <row r="325" spans="1:41">
      <c r="A325" s="226" t="s">
        <v>1332</v>
      </c>
      <c r="B325" s="121" t="s">
        <v>1333</v>
      </c>
      <c r="C325" s="121" t="s">
        <v>1199</v>
      </c>
      <c r="D325" s="121" t="s">
        <v>553</v>
      </c>
      <c r="E325" s="121" t="s">
        <v>621</v>
      </c>
      <c r="F325" s="121" t="s">
        <v>884</v>
      </c>
      <c r="G325" s="121" t="s">
        <v>622</v>
      </c>
      <c r="H325" s="121" t="s">
        <v>45</v>
      </c>
      <c r="I325" s="121" t="s">
        <v>46</v>
      </c>
      <c r="J325" s="177">
        <v>3896301474.6254978</v>
      </c>
      <c r="M325" s="275">
        <v>-1.720073095122221E-2</v>
      </c>
      <c r="N325" s="123">
        <v>5.7099999999999998E-2</v>
      </c>
      <c r="O325" s="229">
        <v>0.05</v>
      </c>
      <c r="P325" s="229" t="s">
        <v>608</v>
      </c>
      <c r="Q325" s="229" t="s">
        <v>122</v>
      </c>
      <c r="R325" s="123">
        <v>1E-3</v>
      </c>
      <c r="S325" s="123">
        <v>6.7000000000000004E-2</v>
      </c>
      <c r="T325" s="123">
        <v>0.11800000000000001</v>
      </c>
      <c r="U325" s="177" t="e">
        <f t="shared" si="10"/>
        <v>#REF!</v>
      </c>
      <c r="V325" s="177" t="e">
        <v>#REF!</v>
      </c>
      <c r="W325" s="177">
        <v>0</v>
      </c>
      <c r="X325" s="177" t="e">
        <v>#REF!</v>
      </c>
      <c r="Y325" s="177">
        <v>1489797</v>
      </c>
      <c r="Z325" s="177">
        <v>1020064</v>
      </c>
      <c r="AA325" s="177">
        <v>0</v>
      </c>
      <c r="AB325" s="177">
        <v>0</v>
      </c>
      <c r="AC325" s="177">
        <v>0</v>
      </c>
      <c r="AD325" s="177">
        <v>0</v>
      </c>
      <c r="AE325" s="177">
        <v>0</v>
      </c>
      <c r="AF325" s="177">
        <v>0</v>
      </c>
      <c r="AG325" s="177">
        <v>0</v>
      </c>
      <c r="AH325" s="177">
        <v>0</v>
      </c>
      <c r="AI325" s="123" t="s">
        <v>122</v>
      </c>
      <c r="AJ325" s="123">
        <v>3.0000000000000001E-3</v>
      </c>
      <c r="AK325" s="177" t="s">
        <v>122</v>
      </c>
      <c r="AL325" s="363"/>
      <c r="AM325" s="364"/>
      <c r="AN325" s="365"/>
      <c r="AO325" s="365"/>
    </row>
    <row r="326" spans="1:41">
      <c r="A326" s="226" t="s">
        <v>1334</v>
      </c>
      <c r="B326" s="121" t="s">
        <v>1335</v>
      </c>
      <c r="C326" s="121" t="s">
        <v>1199</v>
      </c>
      <c r="D326" s="121" t="s">
        <v>553</v>
      </c>
      <c r="E326" s="121" t="s">
        <v>621</v>
      </c>
      <c r="F326" s="121" t="s">
        <v>884</v>
      </c>
      <c r="G326" s="121" t="s">
        <v>622</v>
      </c>
      <c r="H326" s="121" t="s">
        <v>45</v>
      </c>
      <c r="I326" s="121" t="s">
        <v>46</v>
      </c>
      <c r="J326" s="177">
        <v>3143792036.6573706</v>
      </c>
      <c r="M326" s="275">
        <v>0.13101788139946402</v>
      </c>
      <c r="N326" s="123">
        <v>5.7099999999999998E-2</v>
      </c>
      <c r="O326" s="229">
        <v>0.05</v>
      </c>
      <c r="P326" s="229" t="s">
        <v>608</v>
      </c>
      <c r="Q326" s="229" t="s">
        <v>122</v>
      </c>
      <c r="R326" s="123">
        <v>1E-3</v>
      </c>
      <c r="S326" s="123">
        <v>6.7000000000000004E-2</v>
      </c>
      <c r="T326" s="123">
        <v>0.11800000000000001</v>
      </c>
      <c r="U326" s="177" t="e">
        <f t="shared" si="10"/>
        <v>#REF!</v>
      </c>
      <c r="V326" s="177" t="e">
        <v>#REF!</v>
      </c>
      <c r="W326" s="177">
        <v>0</v>
      </c>
      <c r="X326" s="177" t="e">
        <v>#REF!</v>
      </c>
      <c r="Y326" s="177">
        <v>1223140</v>
      </c>
      <c r="Z326" s="177">
        <v>1020064</v>
      </c>
      <c r="AA326" s="177">
        <v>0</v>
      </c>
      <c r="AB326" s="177">
        <v>0</v>
      </c>
      <c r="AC326" s="177">
        <v>0</v>
      </c>
      <c r="AD326" s="177">
        <v>0</v>
      </c>
      <c r="AE326" s="177">
        <v>0</v>
      </c>
      <c r="AF326" s="177">
        <v>0</v>
      </c>
      <c r="AG326" s="177">
        <v>0</v>
      </c>
      <c r="AH326" s="177">
        <v>0</v>
      </c>
      <c r="AI326" s="123" t="s">
        <v>122</v>
      </c>
      <c r="AJ326" s="123">
        <v>3.2000000000000002E-3</v>
      </c>
      <c r="AK326" s="177" t="s">
        <v>122</v>
      </c>
      <c r="AL326" s="363"/>
      <c r="AM326" s="364"/>
      <c r="AN326" s="365"/>
      <c r="AO326" s="365"/>
    </row>
    <row r="327" spans="1:41">
      <c r="A327" s="226" t="s">
        <v>1336</v>
      </c>
      <c r="B327" s="121" t="s">
        <v>1337</v>
      </c>
      <c r="C327" s="121" t="s">
        <v>1199</v>
      </c>
      <c r="D327" s="121" t="s">
        <v>553</v>
      </c>
      <c r="E327" s="121" t="s">
        <v>621</v>
      </c>
      <c r="F327" s="121" t="s">
        <v>884</v>
      </c>
      <c r="G327" s="121" t="s">
        <v>622</v>
      </c>
      <c r="H327" s="121" t="s">
        <v>45</v>
      </c>
      <c r="I327" s="121" t="s">
        <v>46</v>
      </c>
      <c r="J327" s="177">
        <v>1212116780.2430279</v>
      </c>
      <c r="M327" s="275">
        <v>2.0177404578681557E-2</v>
      </c>
      <c r="N327" s="123">
        <v>5.7099999999999998E-2</v>
      </c>
      <c r="O327" s="229">
        <v>0.05</v>
      </c>
      <c r="P327" s="229" t="s">
        <v>608</v>
      </c>
      <c r="Q327" s="229" t="s">
        <v>122</v>
      </c>
      <c r="R327" s="123">
        <v>1E-3</v>
      </c>
      <c r="S327" s="123">
        <v>6.7000000000000004E-2</v>
      </c>
      <c r="T327" s="123">
        <v>0.11800000000000001</v>
      </c>
      <c r="U327" s="177" t="e">
        <f t="shared" si="10"/>
        <v>#REF!</v>
      </c>
      <c r="V327" s="177" t="e">
        <v>#REF!</v>
      </c>
      <c r="W327" s="177">
        <v>0</v>
      </c>
      <c r="X327" s="177" t="e">
        <v>#REF!</v>
      </c>
      <c r="Y327" s="177">
        <v>445477</v>
      </c>
      <c r="Z327" s="177">
        <v>1020064</v>
      </c>
      <c r="AA327" s="177">
        <v>0</v>
      </c>
      <c r="AB327" s="177">
        <v>0</v>
      </c>
      <c r="AC327" s="177">
        <v>0</v>
      </c>
      <c r="AD327" s="177">
        <v>0</v>
      </c>
      <c r="AE327" s="177">
        <v>0</v>
      </c>
      <c r="AF327" s="177">
        <v>0</v>
      </c>
      <c r="AG327" s="177">
        <v>0</v>
      </c>
      <c r="AH327" s="177">
        <v>0</v>
      </c>
      <c r="AI327" s="123" t="s">
        <v>122</v>
      </c>
      <c r="AJ327" s="123">
        <v>3.7000000000000002E-3</v>
      </c>
      <c r="AK327" s="177" t="s">
        <v>122</v>
      </c>
      <c r="AL327" s="363"/>
      <c r="AM327" s="364"/>
      <c r="AN327" s="365"/>
      <c r="AO327" s="365"/>
    </row>
    <row r="328" spans="1:41">
      <c r="A328" s="226" t="s">
        <v>1338</v>
      </c>
      <c r="B328" s="121" t="s">
        <v>1339</v>
      </c>
      <c r="C328" s="121" t="s">
        <v>1199</v>
      </c>
      <c r="D328" s="121" t="s">
        <v>553</v>
      </c>
      <c r="E328" s="121" t="s">
        <v>621</v>
      </c>
      <c r="F328" s="121" t="s">
        <v>884</v>
      </c>
      <c r="G328" s="121" t="s">
        <v>622</v>
      </c>
      <c r="H328" s="121" t="s">
        <v>45</v>
      </c>
      <c r="I328" s="121" t="s">
        <v>46</v>
      </c>
      <c r="J328" s="177">
        <v>3173356035.2350597</v>
      </c>
      <c r="M328" s="275">
        <v>9.3045189297556119E-2</v>
      </c>
      <c r="N328" s="123">
        <v>5.7099999999999998E-2</v>
      </c>
      <c r="O328" s="229">
        <v>0.05</v>
      </c>
      <c r="P328" s="229" t="s">
        <v>608</v>
      </c>
      <c r="Q328" s="229" t="s">
        <v>122</v>
      </c>
      <c r="R328" s="123">
        <v>1E-3</v>
      </c>
      <c r="S328" s="123">
        <v>6.7000000000000004E-2</v>
      </c>
      <c r="T328" s="123">
        <v>0.11800000000000001</v>
      </c>
      <c r="U328" s="177" t="e">
        <f t="shared" si="10"/>
        <v>#REF!</v>
      </c>
      <c r="V328" s="177" t="e">
        <v>#REF!</v>
      </c>
      <c r="W328" s="177">
        <v>0</v>
      </c>
      <c r="X328" s="177" t="e">
        <v>#REF!</v>
      </c>
      <c r="Y328" s="177">
        <v>1159166</v>
      </c>
      <c r="Z328" s="177">
        <v>1020064</v>
      </c>
      <c r="AA328" s="177">
        <v>0</v>
      </c>
      <c r="AB328" s="177">
        <v>0</v>
      </c>
      <c r="AC328" s="177">
        <v>0</v>
      </c>
      <c r="AD328" s="177">
        <v>0</v>
      </c>
      <c r="AE328" s="177">
        <v>0</v>
      </c>
      <c r="AF328" s="177">
        <v>0</v>
      </c>
      <c r="AG328" s="177">
        <v>0</v>
      </c>
      <c r="AH328" s="177">
        <v>0</v>
      </c>
      <c r="AI328" s="123" t="s">
        <v>122</v>
      </c>
      <c r="AJ328" s="123">
        <v>3.0000000000000001E-3</v>
      </c>
      <c r="AK328" s="177" t="s">
        <v>122</v>
      </c>
      <c r="AL328" s="363"/>
      <c r="AM328" s="364"/>
      <c r="AN328" s="365"/>
      <c r="AO328" s="365"/>
    </row>
    <row r="329" spans="1:41">
      <c r="A329" s="226" t="s">
        <v>1340</v>
      </c>
      <c r="B329" s="121" t="s">
        <v>1341</v>
      </c>
      <c r="C329" s="121" t="s">
        <v>1199</v>
      </c>
      <c r="D329" s="121" t="s">
        <v>553</v>
      </c>
      <c r="E329" s="121" t="s">
        <v>621</v>
      </c>
      <c r="F329" s="121" t="s">
        <v>884</v>
      </c>
      <c r="G329" s="121" t="s">
        <v>622</v>
      </c>
      <c r="H329" s="121" t="s">
        <v>45</v>
      </c>
      <c r="I329" s="121" t="s">
        <v>46</v>
      </c>
      <c r="J329" s="177">
        <v>1892761191.1832669</v>
      </c>
      <c r="K329" s="177">
        <v>156861600</v>
      </c>
      <c r="L329" s="366">
        <v>41576</v>
      </c>
      <c r="M329" s="275">
        <v>-1.8947711675226464E-2</v>
      </c>
      <c r="N329" s="123">
        <v>5.7099999999999998E-2</v>
      </c>
      <c r="O329" s="229">
        <v>0.05</v>
      </c>
      <c r="P329" s="229" t="s">
        <v>608</v>
      </c>
      <c r="Q329" s="229" t="s">
        <v>122</v>
      </c>
      <c r="R329" s="123">
        <v>1E-3</v>
      </c>
      <c r="S329" s="123">
        <v>6.7000000000000004E-2</v>
      </c>
      <c r="T329" s="123">
        <v>0.11800000000000001</v>
      </c>
      <c r="U329" s="177" t="e">
        <f t="shared" si="10"/>
        <v>#REF!</v>
      </c>
      <c r="V329" s="177" t="e">
        <v>#REF!</v>
      </c>
      <c r="W329" s="177">
        <v>0</v>
      </c>
      <c r="X329" s="177" t="e">
        <v>#REF!</v>
      </c>
      <c r="Y329" s="177">
        <v>794018</v>
      </c>
      <c r="Z329" s="177">
        <v>1020064</v>
      </c>
      <c r="AA329" s="177">
        <v>0</v>
      </c>
      <c r="AB329" s="177">
        <v>0</v>
      </c>
      <c r="AC329" s="177">
        <v>0</v>
      </c>
      <c r="AD329" s="177">
        <v>0</v>
      </c>
      <c r="AE329" s="177">
        <v>0</v>
      </c>
      <c r="AF329" s="177">
        <v>0</v>
      </c>
      <c r="AG329" s="177">
        <v>0</v>
      </c>
      <c r="AH329" s="177">
        <v>0</v>
      </c>
      <c r="AI329" s="123" t="s">
        <v>122</v>
      </c>
      <c r="AJ329" s="123">
        <v>2.5999999999999999E-3</v>
      </c>
      <c r="AK329" s="177" t="s">
        <v>122</v>
      </c>
      <c r="AL329" s="363"/>
      <c r="AM329" s="364"/>
      <c r="AN329" s="365"/>
      <c r="AO329" s="365"/>
    </row>
    <row r="330" spans="1:41">
      <c r="A330" s="226" t="s">
        <v>1342</v>
      </c>
      <c r="B330" s="121" t="s">
        <v>1343</v>
      </c>
      <c r="C330" s="121" t="s">
        <v>1199</v>
      </c>
      <c r="D330" s="121" t="s">
        <v>553</v>
      </c>
      <c r="E330" s="121" t="s">
        <v>621</v>
      </c>
      <c r="F330" s="121" t="s">
        <v>884</v>
      </c>
      <c r="G330" s="121" t="s">
        <v>622</v>
      </c>
      <c r="H330" s="121" t="s">
        <v>45</v>
      </c>
      <c r="I330" s="121" t="s">
        <v>46</v>
      </c>
      <c r="J330" s="177">
        <v>1978435991.8406374</v>
      </c>
      <c r="K330" s="177">
        <v>250890400</v>
      </c>
      <c r="L330" s="366">
        <v>41332</v>
      </c>
      <c r="M330" s="275">
        <v>-1.9680889013874325E-2</v>
      </c>
      <c r="N330" s="123">
        <v>5.7099999999999998E-2</v>
      </c>
      <c r="O330" s="229">
        <v>0.05</v>
      </c>
      <c r="P330" s="229" t="s">
        <v>608</v>
      </c>
      <c r="Q330" s="229" t="s">
        <v>122</v>
      </c>
      <c r="R330" s="123">
        <v>1E-3</v>
      </c>
      <c r="S330" s="123">
        <v>6.7000000000000004E-2</v>
      </c>
      <c r="T330" s="123">
        <v>0.11800000000000001</v>
      </c>
      <c r="U330" s="177" t="e">
        <f t="shared" si="10"/>
        <v>#REF!</v>
      </c>
      <c r="V330" s="177" t="e">
        <v>#REF!</v>
      </c>
      <c r="W330" s="177">
        <v>0</v>
      </c>
      <c r="X330" s="177" t="e">
        <v>#REF!</v>
      </c>
      <c r="Y330" s="177">
        <v>1269982</v>
      </c>
      <c r="Z330" s="177">
        <v>1020064</v>
      </c>
      <c r="AA330" s="177">
        <v>0</v>
      </c>
      <c r="AB330" s="177">
        <v>0</v>
      </c>
      <c r="AC330" s="177">
        <v>0</v>
      </c>
      <c r="AD330" s="177">
        <v>0</v>
      </c>
      <c r="AE330" s="177">
        <v>0</v>
      </c>
      <c r="AF330" s="177">
        <v>0</v>
      </c>
      <c r="AG330" s="177">
        <v>0</v>
      </c>
      <c r="AH330" s="177">
        <v>0</v>
      </c>
      <c r="AI330" s="123" t="s">
        <v>122</v>
      </c>
      <c r="AJ330" s="123">
        <v>3.5999999999999999E-3</v>
      </c>
      <c r="AK330" s="177" t="s">
        <v>122</v>
      </c>
      <c r="AL330" s="363"/>
      <c r="AM330" s="364"/>
      <c r="AN330" s="365"/>
      <c r="AO330" s="365"/>
    </row>
    <row r="331" spans="1:41">
      <c r="A331" s="226" t="s">
        <v>1344</v>
      </c>
      <c r="B331" s="121" t="s">
        <v>1345</v>
      </c>
      <c r="C331" s="121" t="s">
        <v>1199</v>
      </c>
      <c r="D331" s="121" t="s">
        <v>553</v>
      </c>
      <c r="E331" s="121" t="s">
        <v>621</v>
      </c>
      <c r="F331" s="121" t="s">
        <v>884</v>
      </c>
      <c r="G331" s="121" t="s">
        <v>622</v>
      </c>
      <c r="H331" s="121" t="s">
        <v>45</v>
      </c>
      <c r="I331" s="121" t="s">
        <v>46</v>
      </c>
      <c r="J331" s="177">
        <v>3658581910.3984065</v>
      </c>
      <c r="K331" s="177">
        <v>362901600</v>
      </c>
      <c r="L331" s="366">
        <v>41481</v>
      </c>
      <c r="M331" s="275">
        <v>-6.5375881471649522E-2</v>
      </c>
      <c r="N331" s="123">
        <v>5.7099999999999998E-2</v>
      </c>
      <c r="O331" s="229">
        <v>0.05</v>
      </c>
      <c r="P331" s="229" t="s">
        <v>608</v>
      </c>
      <c r="Q331" s="229" t="s">
        <v>122</v>
      </c>
      <c r="R331" s="123">
        <v>1E-3</v>
      </c>
      <c r="S331" s="123">
        <v>6.7000000000000004E-2</v>
      </c>
      <c r="T331" s="123">
        <v>0.11800000000000001</v>
      </c>
      <c r="U331" s="177" t="e">
        <f t="shared" si="10"/>
        <v>#REF!</v>
      </c>
      <c r="V331" s="177" t="e">
        <v>#REF!</v>
      </c>
      <c r="W331" s="177">
        <v>0</v>
      </c>
      <c r="X331" s="177" t="e">
        <v>#REF!</v>
      </c>
      <c r="Y331" s="177">
        <v>1828169</v>
      </c>
      <c r="Z331" s="177">
        <v>1020064</v>
      </c>
      <c r="AA331" s="177">
        <v>0</v>
      </c>
      <c r="AB331" s="177">
        <v>0</v>
      </c>
      <c r="AC331" s="177">
        <v>0</v>
      </c>
      <c r="AD331" s="177">
        <v>0</v>
      </c>
      <c r="AE331" s="177">
        <v>0</v>
      </c>
      <c r="AF331" s="177">
        <v>0</v>
      </c>
      <c r="AG331" s="177">
        <v>0</v>
      </c>
      <c r="AH331" s="177">
        <v>0</v>
      </c>
      <c r="AI331" s="123" t="s">
        <v>122</v>
      </c>
      <c r="AJ331" s="123">
        <v>2.5999999999999999E-3</v>
      </c>
      <c r="AK331" s="177" t="s">
        <v>122</v>
      </c>
      <c r="AL331" s="363"/>
      <c r="AM331" s="364"/>
      <c r="AN331" s="365"/>
      <c r="AO331" s="365"/>
    </row>
    <row r="332" spans="1:41">
      <c r="A332" s="226" t="s">
        <v>1346</v>
      </c>
      <c r="B332" s="121" t="s">
        <v>1347</v>
      </c>
      <c r="C332" s="121" t="s">
        <v>1199</v>
      </c>
      <c r="D332" s="121" t="s">
        <v>553</v>
      </c>
      <c r="E332" s="121" t="s">
        <v>621</v>
      </c>
      <c r="F332" s="121" t="s">
        <v>884</v>
      </c>
      <c r="G332" s="121" t="s">
        <v>622</v>
      </c>
      <c r="H332" s="121" t="s">
        <v>45</v>
      </c>
      <c r="I332" s="121" t="s">
        <v>46</v>
      </c>
      <c r="J332" s="177">
        <v>2151085707.8924303</v>
      </c>
      <c r="K332" s="177">
        <v>194588000</v>
      </c>
      <c r="L332" s="366">
        <v>41541</v>
      </c>
      <c r="M332" s="275">
        <v>-6.4812113839256558E-2</v>
      </c>
      <c r="N332" s="123">
        <v>5.7099999999999998E-2</v>
      </c>
      <c r="O332" s="229">
        <v>0.05</v>
      </c>
      <c r="P332" s="229" t="s">
        <v>608</v>
      </c>
      <c r="Q332" s="229" t="s">
        <v>122</v>
      </c>
      <c r="R332" s="123">
        <v>1E-3</v>
      </c>
      <c r="S332" s="123">
        <v>6.7000000000000004E-2</v>
      </c>
      <c r="T332" s="123">
        <v>0.11800000000000001</v>
      </c>
      <c r="U332" s="177" t="e">
        <f t="shared" si="10"/>
        <v>#REF!</v>
      </c>
      <c r="V332" s="177" t="e">
        <v>#REF!</v>
      </c>
      <c r="W332" s="177">
        <v>0</v>
      </c>
      <c r="X332" s="177" t="e">
        <v>#REF!</v>
      </c>
      <c r="Y332" s="177">
        <v>976256</v>
      </c>
      <c r="Z332" s="177">
        <v>1020064</v>
      </c>
      <c r="AA332" s="177">
        <v>0</v>
      </c>
      <c r="AB332" s="177">
        <v>0</v>
      </c>
      <c r="AC332" s="177">
        <v>0</v>
      </c>
      <c r="AD332" s="177">
        <v>0</v>
      </c>
      <c r="AE332" s="177">
        <v>0</v>
      </c>
      <c r="AF332" s="177">
        <v>0</v>
      </c>
      <c r="AG332" s="177">
        <v>0</v>
      </c>
      <c r="AH332" s="177">
        <v>0</v>
      </c>
      <c r="AI332" s="123" t="s">
        <v>122</v>
      </c>
      <c r="AJ332" s="123">
        <v>2.7000000000000001E-3</v>
      </c>
      <c r="AK332" s="177" t="s">
        <v>122</v>
      </c>
      <c r="AL332" s="363"/>
      <c r="AM332" s="364"/>
      <c r="AN332" s="365"/>
      <c r="AO332" s="365"/>
    </row>
    <row r="333" spans="1:41">
      <c r="A333" s="367" t="s">
        <v>618</v>
      </c>
      <c r="B333" s="368" t="s">
        <v>619</v>
      </c>
      <c r="C333" s="368" t="s">
        <v>620</v>
      </c>
      <c r="D333" s="101" t="s">
        <v>553</v>
      </c>
      <c r="E333" s="95" t="s">
        <v>621</v>
      </c>
      <c r="F333" s="43" t="s">
        <v>884</v>
      </c>
      <c r="G333" s="43" t="s">
        <v>622</v>
      </c>
      <c r="H333" s="208" t="s">
        <v>62</v>
      </c>
      <c r="I333" s="369" t="s">
        <v>46</v>
      </c>
      <c r="J333" s="370">
        <v>2458114781</v>
      </c>
      <c r="K333" s="199"/>
      <c r="L333" s="98"/>
      <c r="M333" s="98"/>
      <c r="N333" s="98"/>
      <c r="O333" s="216">
        <v>1.4999999999999999E-2</v>
      </c>
      <c r="P333" s="371"/>
      <c r="Q333" s="371"/>
      <c r="R333" s="52">
        <v>2E-3</v>
      </c>
      <c r="S333" s="52">
        <v>0.01</v>
      </c>
      <c r="T333" s="372"/>
      <c r="U333" s="370">
        <v>25979978</v>
      </c>
      <c r="V333" s="370">
        <v>3026989</v>
      </c>
      <c r="W333" s="199">
        <v>0</v>
      </c>
      <c r="X333" s="370">
        <v>18237623</v>
      </c>
      <c r="Y333" s="370">
        <v>3687039</v>
      </c>
      <c r="Z333" s="370">
        <v>933204</v>
      </c>
      <c r="AA333" s="370">
        <v>0</v>
      </c>
      <c r="AB333" s="370">
        <v>0</v>
      </c>
      <c r="AC333" s="370">
        <v>0</v>
      </c>
      <c r="AD333" s="370">
        <v>0</v>
      </c>
      <c r="AE333" s="199"/>
      <c r="AF333" s="370">
        <v>95123</v>
      </c>
      <c r="AG333" s="199">
        <v>0</v>
      </c>
      <c r="AH333" s="199">
        <v>0</v>
      </c>
      <c r="AI333" s="98"/>
      <c r="AJ333" s="98"/>
      <c r="AK333" s="199"/>
    </row>
    <row r="334" spans="1:41">
      <c r="A334" s="367" t="s">
        <v>623</v>
      </c>
      <c r="B334" s="368" t="s">
        <v>624</v>
      </c>
      <c r="C334" s="368" t="s">
        <v>620</v>
      </c>
      <c r="D334" s="101" t="s">
        <v>553</v>
      </c>
      <c r="E334" s="95" t="s">
        <v>621</v>
      </c>
      <c r="F334" s="43" t="s">
        <v>884</v>
      </c>
      <c r="G334" s="43" t="s">
        <v>622</v>
      </c>
      <c r="H334" s="208" t="s">
        <v>62</v>
      </c>
      <c r="I334" s="369" t="s">
        <v>46</v>
      </c>
      <c r="J334" s="370">
        <v>3535352339</v>
      </c>
      <c r="K334" s="199"/>
      <c r="L334" s="98"/>
      <c r="M334" s="98"/>
      <c r="N334" s="98"/>
      <c r="O334" s="216">
        <v>1.4999999999999999E-2</v>
      </c>
      <c r="P334" s="371"/>
      <c r="Q334" s="371"/>
      <c r="R334" s="52">
        <v>2E-3</v>
      </c>
      <c r="S334" s="52">
        <v>0.01</v>
      </c>
      <c r="T334" s="372"/>
      <c r="U334" s="370">
        <v>39313124</v>
      </c>
      <c r="V334" s="370">
        <v>4200540</v>
      </c>
      <c r="W334" s="199">
        <v>0</v>
      </c>
      <c r="X334" s="370">
        <v>30549405</v>
      </c>
      <c r="Y334" s="370">
        <v>3534452</v>
      </c>
      <c r="Z334" s="370">
        <v>933204</v>
      </c>
      <c r="AA334" s="370">
        <v>0</v>
      </c>
      <c r="AB334" s="370">
        <v>0</v>
      </c>
      <c r="AC334" s="370">
        <v>0</v>
      </c>
      <c r="AD334" s="370">
        <v>0</v>
      </c>
      <c r="AE334" s="199"/>
      <c r="AF334" s="370">
        <v>95523</v>
      </c>
      <c r="AG334" s="199">
        <v>0</v>
      </c>
      <c r="AH334" s="199">
        <v>0</v>
      </c>
      <c r="AI334" s="98"/>
      <c r="AJ334" s="98"/>
      <c r="AK334" s="199"/>
    </row>
    <row r="335" spans="1:41">
      <c r="A335" s="367" t="s">
        <v>625</v>
      </c>
      <c r="B335" s="368" t="s">
        <v>626</v>
      </c>
      <c r="C335" s="368" t="s">
        <v>620</v>
      </c>
      <c r="D335" s="101" t="s">
        <v>553</v>
      </c>
      <c r="E335" s="95" t="s">
        <v>621</v>
      </c>
      <c r="F335" s="43" t="s">
        <v>884</v>
      </c>
      <c r="G335" s="43" t="s">
        <v>622</v>
      </c>
      <c r="H335" s="208" t="s">
        <v>62</v>
      </c>
      <c r="I335" s="369" t="s">
        <v>46</v>
      </c>
      <c r="J335" s="370">
        <v>1757442276</v>
      </c>
      <c r="K335" s="199"/>
      <c r="L335" s="98"/>
      <c r="M335" s="98"/>
      <c r="N335" s="98"/>
      <c r="O335" s="216">
        <v>1.4999999999999999E-2</v>
      </c>
      <c r="P335" s="371"/>
      <c r="Q335" s="371"/>
      <c r="R335" s="52">
        <v>2E-3</v>
      </c>
      <c r="S335" s="52">
        <v>0.01</v>
      </c>
      <c r="T335" s="372"/>
      <c r="U335" s="370">
        <v>20202260</v>
      </c>
      <c r="V335" s="370">
        <v>2621259</v>
      </c>
      <c r="W335" s="199">
        <v>0</v>
      </c>
      <c r="X335" s="370">
        <v>14978624</v>
      </c>
      <c r="Y335" s="370">
        <v>1580103</v>
      </c>
      <c r="Z335" s="370">
        <v>927100</v>
      </c>
      <c r="AA335" s="370">
        <v>0</v>
      </c>
      <c r="AB335" s="370">
        <v>0</v>
      </c>
      <c r="AC335" s="370">
        <v>0</v>
      </c>
      <c r="AD335" s="370">
        <v>0</v>
      </c>
      <c r="AE335" s="199"/>
      <c r="AF335" s="370">
        <v>95174</v>
      </c>
      <c r="AG335" s="199">
        <v>0</v>
      </c>
      <c r="AH335" s="199">
        <v>0</v>
      </c>
      <c r="AI335" s="98"/>
      <c r="AJ335" s="98"/>
      <c r="AK335" s="199"/>
    </row>
    <row r="336" spans="1:41">
      <c r="A336" s="367" t="s">
        <v>627</v>
      </c>
      <c r="B336" s="22" t="s">
        <v>628</v>
      </c>
      <c r="C336" s="24" t="s">
        <v>620</v>
      </c>
      <c r="D336" s="43" t="s">
        <v>43</v>
      </c>
      <c r="E336" s="43" t="s">
        <v>44</v>
      </c>
      <c r="F336" s="43" t="s">
        <v>1348</v>
      </c>
      <c r="G336" s="43" t="s">
        <v>58</v>
      </c>
      <c r="H336" s="208" t="s">
        <v>62</v>
      </c>
      <c r="I336" s="23" t="s">
        <v>46</v>
      </c>
      <c r="J336" s="370">
        <v>911821729</v>
      </c>
      <c r="K336" s="199"/>
      <c r="L336" s="98"/>
      <c r="M336" s="98"/>
      <c r="N336" s="98"/>
      <c r="O336" s="25">
        <v>5.0000000000000001E-3</v>
      </c>
      <c r="P336" s="371"/>
      <c r="Q336" s="371"/>
      <c r="R336" s="52">
        <v>2E-3</v>
      </c>
      <c r="S336" s="52">
        <v>1.525E-2</v>
      </c>
      <c r="T336" s="372"/>
      <c r="U336" s="370">
        <v>17626683</v>
      </c>
      <c r="V336" s="370">
        <v>3186373</v>
      </c>
      <c r="W336" s="199">
        <v>0</v>
      </c>
      <c r="X336" s="370">
        <v>7738335</v>
      </c>
      <c r="Y336" s="370">
        <v>1820785</v>
      </c>
      <c r="Z336" s="370">
        <v>1233634</v>
      </c>
      <c r="AA336" s="370">
        <v>229000</v>
      </c>
      <c r="AB336" s="370">
        <v>11944</v>
      </c>
      <c r="AC336" s="370">
        <v>0</v>
      </c>
      <c r="AD336" s="370">
        <f>1962770+1072890</f>
        <v>3035660</v>
      </c>
      <c r="AE336" s="199"/>
      <c r="AF336" s="370">
        <v>370952</v>
      </c>
      <c r="AG336" s="199">
        <v>0</v>
      </c>
      <c r="AH336" s="199">
        <v>0</v>
      </c>
      <c r="AI336" s="98"/>
      <c r="AJ336" s="98">
        <v>1.94</v>
      </c>
      <c r="AK336" s="199"/>
    </row>
    <row r="337" spans="1:37">
      <c r="A337" s="367" t="s">
        <v>629</v>
      </c>
      <c r="B337" s="368" t="s">
        <v>630</v>
      </c>
      <c r="C337" s="368" t="s">
        <v>620</v>
      </c>
      <c r="D337" s="101" t="s">
        <v>553</v>
      </c>
      <c r="E337" s="95" t="s">
        <v>621</v>
      </c>
      <c r="F337" s="43" t="s">
        <v>884</v>
      </c>
      <c r="G337" s="43" t="s">
        <v>622</v>
      </c>
      <c r="H337" s="208" t="s">
        <v>62</v>
      </c>
      <c r="I337" s="369" t="s">
        <v>46</v>
      </c>
      <c r="J337" s="370">
        <v>1614670578</v>
      </c>
      <c r="K337" s="199"/>
      <c r="L337" s="98"/>
      <c r="M337" s="98"/>
      <c r="N337" s="98"/>
      <c r="O337" s="216">
        <v>1.4999999999999999E-2</v>
      </c>
      <c r="P337" s="371"/>
      <c r="Q337" s="371"/>
      <c r="R337" s="52">
        <v>2E-3</v>
      </c>
      <c r="S337" s="52">
        <v>0.01</v>
      </c>
      <c r="T337" s="372"/>
      <c r="U337" s="370">
        <v>20764802</v>
      </c>
      <c r="V337" s="370">
        <v>2733870</v>
      </c>
      <c r="W337" s="199">
        <v>0</v>
      </c>
      <c r="X337" s="370">
        <v>14580655</v>
      </c>
      <c r="Y337" s="370">
        <v>2421950</v>
      </c>
      <c r="Z337" s="370">
        <v>933204</v>
      </c>
      <c r="AA337" s="370">
        <v>0</v>
      </c>
      <c r="AB337" s="370">
        <v>0</v>
      </c>
      <c r="AC337" s="370">
        <v>0</v>
      </c>
      <c r="AD337" s="370">
        <v>0</v>
      </c>
      <c r="AE337" s="199"/>
      <c r="AF337" s="370">
        <v>95123</v>
      </c>
      <c r="AG337" s="199">
        <v>0</v>
      </c>
      <c r="AH337" s="199">
        <v>0</v>
      </c>
      <c r="AI337" s="98"/>
      <c r="AJ337" s="98"/>
      <c r="AK337" s="199"/>
    </row>
    <row r="338" spans="1:37">
      <c r="A338" s="367" t="s">
        <v>631</v>
      </c>
      <c r="B338" s="22" t="s">
        <v>632</v>
      </c>
      <c r="C338" s="24" t="s">
        <v>620</v>
      </c>
      <c r="D338" s="101" t="s">
        <v>553</v>
      </c>
      <c r="E338" s="95" t="s">
        <v>621</v>
      </c>
      <c r="F338" s="43" t="s">
        <v>884</v>
      </c>
      <c r="G338" s="43" t="s">
        <v>622</v>
      </c>
      <c r="H338" s="208" t="s">
        <v>62</v>
      </c>
      <c r="I338" s="369" t="s">
        <v>46</v>
      </c>
      <c r="J338" s="370">
        <v>1045044619</v>
      </c>
      <c r="K338" s="199"/>
      <c r="L338" s="98"/>
      <c r="M338" s="98"/>
      <c r="N338" s="98"/>
      <c r="O338" s="25">
        <v>0.02</v>
      </c>
      <c r="P338" s="371"/>
      <c r="Q338" s="371"/>
      <c r="R338" s="52">
        <v>2E-3</v>
      </c>
      <c r="S338" s="52">
        <v>0</v>
      </c>
      <c r="T338" s="372"/>
      <c r="U338" s="370">
        <v>11263287</v>
      </c>
      <c r="V338" s="370">
        <v>11168987</v>
      </c>
      <c r="W338" s="199">
        <v>0</v>
      </c>
      <c r="X338" s="370">
        <v>0</v>
      </c>
      <c r="Y338" s="370">
        <v>0</v>
      </c>
      <c r="Z338" s="370">
        <v>0</v>
      </c>
      <c r="AA338" s="370">
        <v>0</v>
      </c>
      <c r="AB338" s="370">
        <v>0</v>
      </c>
      <c r="AC338" s="370">
        <v>0</v>
      </c>
      <c r="AD338" s="370">
        <v>0</v>
      </c>
      <c r="AE338" s="199"/>
      <c r="AF338" s="370">
        <v>94300</v>
      </c>
      <c r="AG338" s="199">
        <v>0</v>
      </c>
      <c r="AH338" s="199">
        <v>0</v>
      </c>
      <c r="AI338" s="98"/>
      <c r="AJ338" s="98"/>
      <c r="AK338" s="199"/>
    </row>
    <row r="339" spans="1:37">
      <c r="A339" s="367" t="s">
        <v>633</v>
      </c>
      <c r="B339" s="368" t="s">
        <v>634</v>
      </c>
      <c r="C339" s="368" t="s">
        <v>620</v>
      </c>
      <c r="D339" s="101" t="s">
        <v>553</v>
      </c>
      <c r="E339" s="95" t="s">
        <v>621</v>
      </c>
      <c r="F339" s="43" t="s">
        <v>884</v>
      </c>
      <c r="G339" s="43" t="s">
        <v>622</v>
      </c>
      <c r="H339" s="208" t="s">
        <v>62</v>
      </c>
      <c r="I339" s="369" t="s">
        <v>46</v>
      </c>
      <c r="J339" s="370">
        <v>1723649101</v>
      </c>
      <c r="K339" s="199"/>
      <c r="L339" s="98"/>
      <c r="M339" s="98"/>
      <c r="N339" s="98"/>
      <c r="O339" s="216">
        <v>1.4999999999999999E-2</v>
      </c>
      <c r="P339" s="371"/>
      <c r="Q339" s="371"/>
      <c r="R339" s="52">
        <v>2E-3</v>
      </c>
      <c r="S339" s="52">
        <v>0</v>
      </c>
      <c r="T339" s="372"/>
      <c r="U339" s="370">
        <v>26110597</v>
      </c>
      <c r="V339" s="370">
        <v>7459980</v>
      </c>
      <c r="W339" s="199">
        <v>0</v>
      </c>
      <c r="X339" s="370">
        <v>14839823</v>
      </c>
      <c r="Y339" s="370">
        <v>2782467</v>
      </c>
      <c r="Z339" s="370">
        <v>933204</v>
      </c>
      <c r="AA339" s="370">
        <v>0</v>
      </c>
      <c r="AB339" s="370">
        <v>0</v>
      </c>
      <c r="AC339" s="370">
        <v>0</v>
      </c>
      <c r="AD339" s="370">
        <v>0</v>
      </c>
      <c r="AE339" s="199"/>
      <c r="AF339" s="370">
        <v>95123</v>
      </c>
      <c r="AG339" s="199">
        <v>0</v>
      </c>
      <c r="AH339" s="199">
        <v>0</v>
      </c>
      <c r="AI339" s="98"/>
      <c r="AJ339" s="98"/>
      <c r="AK339" s="199"/>
    </row>
    <row r="340" spans="1:37">
      <c r="A340" s="367" t="s">
        <v>635</v>
      </c>
      <c r="B340" s="22" t="s">
        <v>636</v>
      </c>
      <c r="C340" s="24" t="s">
        <v>620</v>
      </c>
      <c r="D340" s="101" t="s">
        <v>553</v>
      </c>
      <c r="E340" s="95" t="s">
        <v>621</v>
      </c>
      <c r="F340" s="43" t="s">
        <v>884</v>
      </c>
      <c r="G340" s="43" t="s">
        <v>622</v>
      </c>
      <c r="H340" s="208" t="s">
        <v>62</v>
      </c>
      <c r="I340" s="23" t="s">
        <v>46</v>
      </c>
      <c r="J340" s="370">
        <v>1816856753</v>
      </c>
      <c r="K340" s="199"/>
      <c r="L340" s="98"/>
      <c r="M340" s="98"/>
      <c r="N340" s="98"/>
      <c r="O340" s="25">
        <v>0.02</v>
      </c>
      <c r="P340" s="371"/>
      <c r="Q340" s="371"/>
      <c r="R340" s="52">
        <v>2E-3</v>
      </c>
      <c r="S340" s="52">
        <v>0</v>
      </c>
      <c r="T340" s="372"/>
      <c r="U340" s="370">
        <v>29008541</v>
      </c>
      <c r="V340" s="370">
        <v>28914241</v>
      </c>
      <c r="W340" s="199">
        <v>0</v>
      </c>
      <c r="X340" s="370">
        <v>0</v>
      </c>
      <c r="Y340" s="370">
        <v>0</v>
      </c>
      <c r="Z340" s="370">
        <v>0</v>
      </c>
      <c r="AA340" s="370">
        <v>0</v>
      </c>
      <c r="AB340" s="370">
        <v>0</v>
      </c>
      <c r="AC340" s="370">
        <v>0</v>
      </c>
      <c r="AD340" s="370">
        <v>0</v>
      </c>
      <c r="AE340" s="199"/>
      <c r="AF340" s="370">
        <v>94300</v>
      </c>
      <c r="AG340" s="199">
        <v>0</v>
      </c>
      <c r="AH340" s="199">
        <v>0</v>
      </c>
      <c r="AI340" s="98"/>
      <c r="AJ340" s="98"/>
      <c r="AK340" s="199"/>
    </row>
    <row r="341" spans="1:37">
      <c r="A341" s="367" t="s">
        <v>637</v>
      </c>
      <c r="B341" s="22" t="s">
        <v>638</v>
      </c>
      <c r="C341" s="24" t="s">
        <v>620</v>
      </c>
      <c r="D341" s="43" t="s">
        <v>43</v>
      </c>
      <c r="E341" s="43" t="s">
        <v>44</v>
      </c>
      <c r="F341" s="43" t="s">
        <v>1348</v>
      </c>
      <c r="G341" s="43" t="s">
        <v>58</v>
      </c>
      <c r="H341" s="98" t="s">
        <v>62</v>
      </c>
      <c r="I341" s="369" t="s">
        <v>46</v>
      </c>
      <c r="J341" s="370">
        <v>181520156</v>
      </c>
      <c r="K341" s="199"/>
      <c r="L341" s="98"/>
      <c r="M341" s="98"/>
      <c r="N341" s="98"/>
      <c r="O341" s="25">
        <v>5.0000000000000001E-3</v>
      </c>
      <c r="P341" s="371"/>
      <c r="Q341" s="371"/>
      <c r="R341" s="52">
        <v>2E-3</v>
      </c>
      <c r="S341" s="52">
        <v>1.525E-2</v>
      </c>
      <c r="T341" s="372"/>
      <c r="U341" s="370">
        <v>3679077</v>
      </c>
      <c r="V341" s="370">
        <v>363667</v>
      </c>
      <c r="W341" s="199">
        <v>0</v>
      </c>
      <c r="X341" s="370">
        <v>1454669</v>
      </c>
      <c r="Y341" s="370">
        <v>363667</v>
      </c>
      <c r="Z341" s="370">
        <v>805594</v>
      </c>
      <c r="AA341" s="370">
        <v>46000</v>
      </c>
      <c r="AB341" s="370">
        <v>11944</v>
      </c>
      <c r="AC341" s="370">
        <v>0</v>
      </c>
      <c r="AD341" s="370">
        <f>168298+312766</f>
        <v>481064</v>
      </c>
      <c r="AE341" s="199"/>
      <c r="AF341" s="370">
        <v>152472</v>
      </c>
      <c r="AG341" s="199">
        <v>0</v>
      </c>
      <c r="AH341" s="199">
        <v>0</v>
      </c>
      <c r="AI341" s="98"/>
      <c r="AJ341" s="98">
        <v>2.02</v>
      </c>
      <c r="AK341" s="199"/>
    </row>
    <row r="342" spans="1:37">
      <c r="A342" s="367" t="s">
        <v>639</v>
      </c>
      <c r="B342" s="22" t="s">
        <v>640</v>
      </c>
      <c r="C342" s="24" t="s">
        <v>620</v>
      </c>
      <c r="D342" s="43" t="s">
        <v>43</v>
      </c>
      <c r="E342" s="43" t="s">
        <v>44</v>
      </c>
      <c r="F342" s="43" t="s">
        <v>1348</v>
      </c>
      <c r="G342" s="43" t="s">
        <v>641</v>
      </c>
      <c r="H342" s="98" t="s">
        <v>62</v>
      </c>
      <c r="I342" s="369" t="s">
        <v>69</v>
      </c>
      <c r="J342" s="370">
        <v>40798690.759999998</v>
      </c>
      <c r="K342" s="199"/>
      <c r="L342" s="98"/>
      <c r="M342" s="98"/>
      <c r="N342" s="98"/>
      <c r="O342" s="25">
        <v>0.01</v>
      </c>
      <c r="P342" s="371"/>
      <c r="Q342" s="371"/>
      <c r="R342" s="52">
        <v>2E-3</v>
      </c>
      <c r="S342" s="52">
        <v>1.025E-2</v>
      </c>
      <c r="T342" s="372"/>
      <c r="U342" s="370">
        <v>463281</v>
      </c>
      <c r="V342" s="370">
        <v>122396</v>
      </c>
      <c r="W342" s="199">
        <v>0</v>
      </c>
      <c r="X342" s="370">
        <v>285591</v>
      </c>
      <c r="Y342" s="370">
        <v>40799</v>
      </c>
      <c r="Z342" s="370">
        <v>3862</v>
      </c>
      <c r="AA342" s="370">
        <v>10396</v>
      </c>
      <c r="AB342" s="370">
        <v>41</v>
      </c>
      <c r="AC342" s="370">
        <v>0</v>
      </c>
      <c r="AD342" s="370">
        <v>0</v>
      </c>
      <c r="AE342" s="199"/>
      <c r="AF342" s="370">
        <v>196</v>
      </c>
      <c r="AG342" s="199">
        <v>0</v>
      </c>
      <c r="AH342" s="199">
        <v>0</v>
      </c>
      <c r="AI342" s="98"/>
      <c r="AJ342" s="98">
        <v>1.1399999999999999</v>
      </c>
      <c r="AK342" s="199"/>
    </row>
    <row r="343" spans="1:37">
      <c r="A343" s="367" t="s">
        <v>642</v>
      </c>
      <c r="B343" s="22" t="s">
        <v>643</v>
      </c>
      <c r="C343" s="24" t="s">
        <v>620</v>
      </c>
      <c r="D343" s="43" t="s">
        <v>43</v>
      </c>
      <c r="E343" s="43" t="s">
        <v>44</v>
      </c>
      <c r="F343" s="43" t="s">
        <v>1348</v>
      </c>
      <c r="G343" s="43" t="s">
        <v>58</v>
      </c>
      <c r="H343" s="98" t="s">
        <v>62</v>
      </c>
      <c r="I343" s="369" t="s">
        <v>46</v>
      </c>
      <c r="J343" s="370">
        <v>873629291</v>
      </c>
      <c r="K343" s="199"/>
      <c r="L343" s="98"/>
      <c r="M343" s="98"/>
      <c r="N343" s="98"/>
      <c r="O343" s="25">
        <v>0.01</v>
      </c>
      <c r="P343" s="371"/>
      <c r="Q343" s="371"/>
      <c r="R343" s="52">
        <v>2E-3</v>
      </c>
      <c r="S343" s="52">
        <v>1.025E-2</v>
      </c>
      <c r="T343" s="372"/>
      <c r="U343" s="370">
        <v>19584830</v>
      </c>
      <c r="V343" s="370">
        <v>6540340</v>
      </c>
      <c r="W343" s="199">
        <v>0</v>
      </c>
      <c r="X343" s="370">
        <v>7412386</v>
      </c>
      <c r="Y343" s="370">
        <v>1744091</v>
      </c>
      <c r="Z343" s="370">
        <v>1233634</v>
      </c>
      <c r="AA343" s="370">
        <v>219000</v>
      </c>
      <c r="AB343" s="370">
        <v>11944</v>
      </c>
      <c r="AC343" s="370">
        <v>0</v>
      </c>
      <c r="AD343" s="370">
        <f>861181+1310035</f>
        <v>2171216</v>
      </c>
      <c r="AE343" s="199"/>
      <c r="AF343" s="370">
        <v>252219</v>
      </c>
      <c r="AG343" s="199">
        <v>0</v>
      </c>
      <c r="AH343" s="199">
        <v>0</v>
      </c>
      <c r="AI343" s="98"/>
      <c r="AJ343" s="98">
        <v>2.25</v>
      </c>
      <c r="AK343" s="199"/>
    </row>
    <row r="344" spans="1:37">
      <c r="A344" s="367" t="s">
        <v>644</v>
      </c>
      <c r="B344" s="373" t="s">
        <v>645</v>
      </c>
      <c r="C344" s="373" t="s">
        <v>620</v>
      </c>
      <c r="D344" s="101" t="s">
        <v>553</v>
      </c>
      <c r="E344" s="95" t="s">
        <v>621</v>
      </c>
      <c r="F344" s="43" t="s">
        <v>884</v>
      </c>
      <c r="G344" s="43" t="s">
        <v>622</v>
      </c>
      <c r="H344" s="208" t="s">
        <v>62</v>
      </c>
      <c r="I344" s="369" t="s">
        <v>46</v>
      </c>
      <c r="J344" s="370">
        <v>1593019439</v>
      </c>
      <c r="K344" s="199"/>
      <c r="L344" s="98"/>
      <c r="M344" s="98"/>
      <c r="N344" s="98"/>
      <c r="O344" s="216">
        <v>1.4999999999999999E-2</v>
      </c>
      <c r="P344" s="371"/>
      <c r="Q344" s="371"/>
      <c r="R344" s="52">
        <v>2E-3</v>
      </c>
      <c r="S344" s="52">
        <v>0.01</v>
      </c>
      <c r="T344" s="372"/>
      <c r="U344" s="370">
        <v>15470006</v>
      </c>
      <c r="V344" s="370">
        <v>2057501</v>
      </c>
      <c r="W344" s="199">
        <v>0</v>
      </c>
      <c r="X344" s="370">
        <v>10309583</v>
      </c>
      <c r="Y344" s="370">
        <v>2074595</v>
      </c>
      <c r="Z344" s="370">
        <v>933204</v>
      </c>
      <c r="AA344" s="370">
        <v>0</v>
      </c>
      <c r="AB344" s="370">
        <v>0</v>
      </c>
      <c r="AC344" s="370">
        <v>0</v>
      </c>
      <c r="AD344" s="370">
        <v>0</v>
      </c>
      <c r="AE344" s="199"/>
      <c r="AF344" s="370">
        <v>95123</v>
      </c>
      <c r="AG344" s="199">
        <v>0</v>
      </c>
      <c r="AH344" s="199">
        <v>0</v>
      </c>
      <c r="AI344" s="98"/>
      <c r="AJ344" s="98"/>
      <c r="AK344" s="199"/>
    </row>
    <row r="345" spans="1:37">
      <c r="A345" s="367" t="s">
        <v>646</v>
      </c>
      <c r="B345" s="22" t="s">
        <v>647</v>
      </c>
      <c r="C345" s="24" t="s">
        <v>620</v>
      </c>
      <c r="D345" s="101" t="s">
        <v>553</v>
      </c>
      <c r="E345" s="95" t="s">
        <v>621</v>
      </c>
      <c r="F345" s="43" t="s">
        <v>884</v>
      </c>
      <c r="G345" s="43" t="s">
        <v>622</v>
      </c>
      <c r="H345" s="98" t="s">
        <v>62</v>
      </c>
      <c r="I345" s="369" t="s">
        <v>46</v>
      </c>
      <c r="J345" s="370">
        <v>2165659099</v>
      </c>
      <c r="K345" s="199"/>
      <c r="L345" s="98"/>
      <c r="M345" s="98"/>
      <c r="N345" s="98"/>
      <c r="O345" s="25">
        <v>0.02</v>
      </c>
      <c r="P345" s="371"/>
      <c r="Q345" s="371"/>
      <c r="R345" s="52">
        <v>2E-3</v>
      </c>
      <c r="S345" s="52">
        <v>0</v>
      </c>
      <c r="T345" s="372"/>
      <c r="U345" s="370">
        <v>20545714</v>
      </c>
      <c r="V345" s="370">
        <v>20451414</v>
      </c>
      <c r="W345" s="199">
        <v>0</v>
      </c>
      <c r="X345" s="370">
        <v>0</v>
      </c>
      <c r="Y345" s="370">
        <v>0</v>
      </c>
      <c r="Z345" s="370">
        <v>0</v>
      </c>
      <c r="AA345" s="370">
        <v>0</v>
      </c>
      <c r="AB345" s="370">
        <v>0</v>
      </c>
      <c r="AC345" s="370">
        <v>0</v>
      </c>
      <c r="AD345" s="370">
        <v>0</v>
      </c>
      <c r="AE345" s="199"/>
      <c r="AF345" s="370">
        <v>94300</v>
      </c>
      <c r="AG345" s="199">
        <v>0</v>
      </c>
      <c r="AH345" s="199">
        <v>0</v>
      </c>
      <c r="AI345" s="98"/>
      <c r="AJ345" s="98"/>
      <c r="AK345" s="199"/>
    </row>
    <row r="346" spans="1:37">
      <c r="A346" s="367" t="s">
        <v>648</v>
      </c>
      <c r="B346" s="22" t="s">
        <v>649</v>
      </c>
      <c r="C346" s="24" t="s">
        <v>620</v>
      </c>
      <c r="D346" s="101" t="s">
        <v>553</v>
      </c>
      <c r="E346" s="95" t="s">
        <v>621</v>
      </c>
      <c r="F346" s="43" t="s">
        <v>884</v>
      </c>
      <c r="G346" s="43" t="s">
        <v>622</v>
      </c>
      <c r="H346" s="98" t="s">
        <v>62</v>
      </c>
      <c r="I346" s="369" t="s">
        <v>46</v>
      </c>
      <c r="J346" s="370">
        <v>1767358831</v>
      </c>
      <c r="K346" s="199"/>
      <c r="L346" s="98"/>
      <c r="M346" s="98"/>
      <c r="N346" s="98"/>
      <c r="O346" s="25">
        <v>0.02</v>
      </c>
      <c r="P346" s="371"/>
      <c r="Q346" s="371"/>
      <c r="R346" s="52">
        <v>2E-3</v>
      </c>
      <c r="S346" s="52">
        <v>0</v>
      </c>
      <c r="T346" s="372"/>
      <c r="U346" s="370">
        <v>33275698</v>
      </c>
      <c r="V346" s="370">
        <v>33181398</v>
      </c>
      <c r="W346" s="199">
        <v>0</v>
      </c>
      <c r="X346" s="370">
        <v>0</v>
      </c>
      <c r="Y346" s="370">
        <v>0</v>
      </c>
      <c r="Z346" s="370">
        <v>0</v>
      </c>
      <c r="AA346" s="370">
        <v>0</v>
      </c>
      <c r="AB346" s="370">
        <v>0</v>
      </c>
      <c r="AC346" s="370">
        <v>0</v>
      </c>
      <c r="AD346" s="370">
        <v>0</v>
      </c>
      <c r="AE346" s="199"/>
      <c r="AF346" s="370">
        <v>94300</v>
      </c>
      <c r="AG346" s="199">
        <v>0</v>
      </c>
      <c r="AH346" s="199">
        <v>0</v>
      </c>
      <c r="AI346" s="98"/>
      <c r="AJ346" s="98"/>
      <c r="AK346" s="199"/>
    </row>
    <row r="347" spans="1:37">
      <c r="A347" s="367" t="s">
        <v>650</v>
      </c>
      <c r="B347" s="22" t="s">
        <v>651</v>
      </c>
      <c r="C347" s="24" t="s">
        <v>620</v>
      </c>
      <c r="D347" s="43" t="s">
        <v>43</v>
      </c>
      <c r="E347" s="43" t="s">
        <v>44</v>
      </c>
      <c r="F347" s="43" t="s">
        <v>1348</v>
      </c>
      <c r="G347" s="43" t="s">
        <v>56</v>
      </c>
      <c r="H347" s="98" t="s">
        <v>62</v>
      </c>
      <c r="I347" s="369" t="s">
        <v>46</v>
      </c>
      <c r="J347" s="370">
        <v>340423648</v>
      </c>
      <c r="K347" s="199"/>
      <c r="L347" s="98"/>
      <c r="M347" s="98"/>
      <c r="N347" s="98"/>
      <c r="O347" s="25">
        <v>5.0000000000000001E-3</v>
      </c>
      <c r="P347" s="371"/>
      <c r="Q347" s="371"/>
      <c r="R347" s="52">
        <v>2E-3</v>
      </c>
      <c r="S347" s="52">
        <v>1.025E-2</v>
      </c>
      <c r="T347" s="372"/>
      <c r="U347" s="370">
        <v>5390275</v>
      </c>
      <c r="V347" s="370">
        <v>512125</v>
      </c>
      <c r="W347" s="199">
        <v>0</v>
      </c>
      <c r="X347" s="370">
        <v>2902044</v>
      </c>
      <c r="Y347" s="370">
        <v>341417</v>
      </c>
      <c r="Z347" s="370">
        <v>739109</v>
      </c>
      <c r="AA347" s="370">
        <v>85000</v>
      </c>
      <c r="AB347" s="370">
        <v>11944</v>
      </c>
      <c r="AC347" s="370">
        <v>0</v>
      </c>
      <c r="AD347" s="370">
        <f>127664+487957</f>
        <v>615621</v>
      </c>
      <c r="AE347" s="199"/>
      <c r="AF347" s="370">
        <v>183015</v>
      </c>
      <c r="AG347" s="199">
        <v>0</v>
      </c>
      <c r="AH347" s="199">
        <v>0</v>
      </c>
      <c r="AI347" s="98"/>
      <c r="AJ347" s="98">
        <v>1.58</v>
      </c>
      <c r="AK347" s="199"/>
    </row>
    <row r="348" spans="1:37">
      <c r="A348" s="367" t="s">
        <v>652</v>
      </c>
      <c r="B348" s="22" t="s">
        <v>653</v>
      </c>
      <c r="C348" s="24" t="s">
        <v>620</v>
      </c>
      <c r="D348" s="43" t="s">
        <v>43</v>
      </c>
      <c r="E348" s="43" t="s">
        <v>44</v>
      </c>
      <c r="F348" s="43" t="s">
        <v>1348</v>
      </c>
      <c r="G348" s="43" t="s">
        <v>56</v>
      </c>
      <c r="H348" s="98" t="s">
        <v>45</v>
      </c>
      <c r="I348" s="369" t="s">
        <v>46</v>
      </c>
      <c r="J348" s="370">
        <v>-232566</v>
      </c>
      <c r="K348" s="199"/>
      <c r="L348" s="98"/>
      <c r="M348" s="98"/>
      <c r="N348" s="98"/>
      <c r="O348" s="25">
        <v>0</v>
      </c>
      <c r="P348" s="371"/>
      <c r="Q348" s="371"/>
      <c r="R348" s="52">
        <v>0</v>
      </c>
      <c r="S348" s="52">
        <v>0</v>
      </c>
      <c r="T348" s="372"/>
      <c r="U348" s="370">
        <v>22656</v>
      </c>
      <c r="V348" s="370">
        <v>0</v>
      </c>
      <c r="W348" s="199">
        <v>0</v>
      </c>
      <c r="X348" s="370">
        <v>0</v>
      </c>
      <c r="Y348" s="370">
        <v>0</v>
      </c>
      <c r="Z348" s="370">
        <v>1269</v>
      </c>
      <c r="AA348" s="370">
        <v>0</v>
      </c>
      <c r="AB348" s="370">
        <v>11944</v>
      </c>
      <c r="AC348" s="370">
        <v>0</v>
      </c>
      <c r="AD348" s="370">
        <v>9443</v>
      </c>
      <c r="AE348" s="199"/>
      <c r="AF348" s="370">
        <v>0</v>
      </c>
      <c r="AG348" s="199">
        <v>0</v>
      </c>
      <c r="AH348" s="199">
        <v>0</v>
      </c>
      <c r="AI348" s="98"/>
      <c r="AJ348" s="98"/>
      <c r="AK348" s="199"/>
    </row>
    <row r="349" spans="1:37">
      <c r="A349" s="367" t="s">
        <v>654</v>
      </c>
      <c r="B349" s="22" t="s">
        <v>655</v>
      </c>
      <c r="C349" s="24" t="s">
        <v>620</v>
      </c>
      <c r="D349" s="43" t="s">
        <v>43</v>
      </c>
      <c r="E349" s="43" t="s">
        <v>44</v>
      </c>
      <c r="F349" s="43" t="s">
        <v>1348</v>
      </c>
      <c r="G349" s="43" t="s">
        <v>641</v>
      </c>
      <c r="H349" s="98" t="s">
        <v>45</v>
      </c>
      <c r="I349" s="369" t="s">
        <v>46</v>
      </c>
      <c r="J349" s="370">
        <v>58057938051</v>
      </c>
      <c r="K349" s="199"/>
      <c r="L349" s="98"/>
      <c r="M349" s="98"/>
      <c r="N349" s="98"/>
      <c r="O349" s="25">
        <v>5.0000000000000001E-3</v>
      </c>
      <c r="P349" s="371"/>
      <c r="Q349" s="371"/>
      <c r="R349" s="52">
        <v>2E-3</v>
      </c>
      <c r="S349" s="52">
        <v>1.525E-2</v>
      </c>
      <c r="T349" s="372"/>
      <c r="U349" s="370">
        <v>1002487158</v>
      </c>
      <c r="V349" s="370">
        <v>174173814</v>
      </c>
      <c r="W349" s="199">
        <v>0</v>
      </c>
      <c r="X349" s="370">
        <v>696695257</v>
      </c>
      <c r="Y349" s="370">
        <v>116115876</v>
      </c>
      <c r="Z349" s="370">
        <v>862918</v>
      </c>
      <c r="AA349" s="370">
        <v>14503000</v>
      </c>
      <c r="AB349" s="370">
        <v>11944</v>
      </c>
      <c r="AC349" s="370">
        <v>0</v>
      </c>
      <c r="AD349" s="370">
        <v>0</v>
      </c>
      <c r="AE349" s="199"/>
      <c r="AF349" s="370">
        <v>124349</v>
      </c>
      <c r="AG349" s="199">
        <v>0</v>
      </c>
      <c r="AH349" s="199">
        <v>0</v>
      </c>
      <c r="AI349" s="98"/>
      <c r="AJ349" s="98">
        <v>1.73</v>
      </c>
      <c r="AK349" s="199"/>
    </row>
    <row r="350" spans="1:37">
      <c r="A350" s="367" t="s">
        <v>656</v>
      </c>
      <c r="B350" s="22" t="s">
        <v>657</v>
      </c>
      <c r="C350" s="24" t="s">
        <v>620</v>
      </c>
      <c r="D350" s="101" t="s">
        <v>553</v>
      </c>
      <c r="E350" s="95" t="s">
        <v>621</v>
      </c>
      <c r="F350" s="43" t="s">
        <v>884</v>
      </c>
      <c r="G350" s="43" t="s">
        <v>622</v>
      </c>
      <c r="H350" s="98" t="s">
        <v>62</v>
      </c>
      <c r="I350" s="369" t="s">
        <v>46</v>
      </c>
      <c r="J350" s="370">
        <v>1607884200</v>
      </c>
      <c r="K350" s="199"/>
      <c r="L350" s="98"/>
      <c r="M350" s="98"/>
      <c r="N350" s="98"/>
      <c r="O350" s="25">
        <v>0.02</v>
      </c>
      <c r="P350" s="371"/>
      <c r="Q350" s="371"/>
      <c r="R350" s="52">
        <v>2E-3</v>
      </c>
      <c r="S350" s="52">
        <v>0</v>
      </c>
      <c r="T350" s="372"/>
      <c r="U350" s="370">
        <v>14354299</v>
      </c>
      <c r="V350" s="370">
        <v>14259999</v>
      </c>
      <c r="W350" s="199">
        <v>0</v>
      </c>
      <c r="X350" s="370">
        <v>0</v>
      </c>
      <c r="Y350" s="370">
        <v>0</v>
      </c>
      <c r="Z350" s="370">
        <v>0</v>
      </c>
      <c r="AA350" s="370">
        <v>0</v>
      </c>
      <c r="AB350" s="370">
        <v>0</v>
      </c>
      <c r="AC350" s="370">
        <v>0</v>
      </c>
      <c r="AD350" s="370">
        <v>0</v>
      </c>
      <c r="AE350" s="199"/>
      <c r="AF350" s="370">
        <v>94300</v>
      </c>
      <c r="AG350" s="199">
        <v>0</v>
      </c>
      <c r="AH350" s="199">
        <v>0</v>
      </c>
      <c r="AI350" s="98"/>
      <c r="AJ350" s="98"/>
      <c r="AK350" s="199"/>
    </row>
    <row r="351" spans="1:37">
      <c r="A351" s="367" t="s">
        <v>658</v>
      </c>
      <c r="B351" s="22" t="s">
        <v>659</v>
      </c>
      <c r="C351" s="24" t="s">
        <v>620</v>
      </c>
      <c r="D351" s="101" t="s">
        <v>553</v>
      </c>
      <c r="E351" s="95" t="s">
        <v>621</v>
      </c>
      <c r="F351" s="43" t="s">
        <v>884</v>
      </c>
      <c r="G351" s="43" t="s">
        <v>622</v>
      </c>
      <c r="H351" s="98" t="s">
        <v>62</v>
      </c>
      <c r="I351" s="369" t="s">
        <v>46</v>
      </c>
      <c r="J351" s="370">
        <v>1682159964</v>
      </c>
      <c r="K351" s="199"/>
      <c r="L351" s="98"/>
      <c r="M351" s="98"/>
      <c r="N351" s="98"/>
      <c r="O351" s="25">
        <v>0.02</v>
      </c>
      <c r="P351" s="371"/>
      <c r="Q351" s="371"/>
      <c r="R351" s="52">
        <v>2E-3</v>
      </c>
      <c r="S351" s="52">
        <v>0</v>
      </c>
      <c r="T351" s="372"/>
      <c r="U351" s="370">
        <v>16636100</v>
      </c>
      <c r="V351" s="370">
        <v>16541800</v>
      </c>
      <c r="W351" s="199">
        <v>0</v>
      </c>
      <c r="X351" s="370">
        <v>0</v>
      </c>
      <c r="Y351" s="370">
        <v>0</v>
      </c>
      <c r="Z351" s="370">
        <v>0</v>
      </c>
      <c r="AA351" s="370">
        <v>0</v>
      </c>
      <c r="AB351" s="370">
        <v>0</v>
      </c>
      <c r="AC351" s="370">
        <v>0</v>
      </c>
      <c r="AD351" s="370">
        <v>0</v>
      </c>
      <c r="AE351" s="199"/>
      <c r="AF351" s="370">
        <v>94300</v>
      </c>
      <c r="AG351" s="199">
        <v>0</v>
      </c>
      <c r="AH351" s="199">
        <v>0</v>
      </c>
      <c r="AI351" s="98"/>
      <c r="AJ351" s="98"/>
      <c r="AK351" s="199"/>
    </row>
    <row r="352" spans="1:37">
      <c r="A352" s="367" t="s">
        <v>660</v>
      </c>
      <c r="B352" s="22" t="s">
        <v>661</v>
      </c>
      <c r="C352" s="24" t="s">
        <v>620</v>
      </c>
      <c r="D352" s="101" t="s">
        <v>553</v>
      </c>
      <c r="E352" s="95" t="s">
        <v>621</v>
      </c>
      <c r="F352" s="43" t="s">
        <v>884</v>
      </c>
      <c r="G352" s="43" t="s">
        <v>622</v>
      </c>
      <c r="H352" s="98" t="s">
        <v>62</v>
      </c>
      <c r="I352" s="369" t="s">
        <v>46</v>
      </c>
      <c r="J352" s="370">
        <v>2022550124</v>
      </c>
      <c r="K352" s="199"/>
      <c r="L352" s="98"/>
      <c r="M352" s="98"/>
      <c r="N352" s="98"/>
      <c r="O352" s="25">
        <v>0.02</v>
      </c>
      <c r="P352" s="371"/>
      <c r="Q352" s="371"/>
      <c r="R352" s="52">
        <v>2E-3</v>
      </c>
      <c r="S352" s="52">
        <v>0</v>
      </c>
      <c r="T352" s="372"/>
      <c r="U352" s="370">
        <v>20555501</v>
      </c>
      <c r="V352" s="370">
        <v>20461201</v>
      </c>
      <c r="W352" s="199">
        <v>0</v>
      </c>
      <c r="X352" s="370">
        <v>0</v>
      </c>
      <c r="Y352" s="370">
        <v>0</v>
      </c>
      <c r="Z352" s="370">
        <v>0</v>
      </c>
      <c r="AA352" s="370">
        <v>0</v>
      </c>
      <c r="AB352" s="370">
        <v>0</v>
      </c>
      <c r="AC352" s="370">
        <v>0</v>
      </c>
      <c r="AD352" s="370">
        <v>0</v>
      </c>
      <c r="AE352" s="199"/>
      <c r="AF352" s="370">
        <v>94300</v>
      </c>
      <c r="AG352" s="199">
        <v>0</v>
      </c>
      <c r="AH352" s="199">
        <v>0</v>
      </c>
      <c r="AI352" s="98"/>
      <c r="AJ352" s="98"/>
      <c r="AK352" s="199"/>
    </row>
    <row r="353" spans="1:37">
      <c r="A353" s="367" t="s">
        <v>662</v>
      </c>
      <c r="B353" s="22" t="s">
        <v>663</v>
      </c>
      <c r="C353" s="24" t="s">
        <v>620</v>
      </c>
      <c r="D353" s="43" t="s">
        <v>43</v>
      </c>
      <c r="E353" s="43" t="s">
        <v>44</v>
      </c>
      <c r="F353" s="43" t="s">
        <v>1348</v>
      </c>
      <c r="G353" s="43" t="s">
        <v>48</v>
      </c>
      <c r="H353" s="98" t="s">
        <v>45</v>
      </c>
      <c r="I353" s="369" t="s">
        <v>46</v>
      </c>
      <c r="J353" s="370">
        <v>1998913573</v>
      </c>
      <c r="K353" s="199"/>
      <c r="L353" s="98"/>
      <c r="M353" s="98"/>
      <c r="N353" s="98"/>
      <c r="O353" s="25">
        <v>5.0000000000000001E-3</v>
      </c>
      <c r="P353" s="371"/>
      <c r="Q353" s="371"/>
      <c r="R353" s="52">
        <v>2E-3</v>
      </c>
      <c r="S353" s="52">
        <v>1.525E-2</v>
      </c>
      <c r="T353" s="372"/>
      <c r="U353" s="370">
        <v>32886412</v>
      </c>
      <c r="V353" s="370">
        <v>5002120</v>
      </c>
      <c r="W353" s="199">
        <v>0</v>
      </c>
      <c r="X353" s="370">
        <v>21008904</v>
      </c>
      <c r="Y353" s="370">
        <v>4001696</v>
      </c>
      <c r="Z353" s="370">
        <v>1457392</v>
      </c>
      <c r="AA353" s="370">
        <v>500000</v>
      </c>
      <c r="AB353" s="370">
        <v>11944</v>
      </c>
      <c r="AC353" s="370">
        <v>0</v>
      </c>
      <c r="AD353" s="370">
        <f>187574+355891</f>
        <v>543465</v>
      </c>
      <c r="AE353" s="199"/>
      <c r="AF353" s="370">
        <v>360891</v>
      </c>
      <c r="AG353" s="199">
        <v>0</v>
      </c>
      <c r="AH353" s="199">
        <v>0</v>
      </c>
      <c r="AI353" s="98"/>
      <c r="AJ353" s="98">
        <v>1.64</v>
      </c>
      <c r="AK353" s="199"/>
    </row>
    <row r="354" spans="1:37">
      <c r="A354" s="367" t="s">
        <v>664</v>
      </c>
      <c r="B354" s="22" t="s">
        <v>665</v>
      </c>
      <c r="C354" s="24" t="s">
        <v>620</v>
      </c>
      <c r="D354" s="43" t="s">
        <v>43</v>
      </c>
      <c r="E354" s="43" t="s">
        <v>44</v>
      </c>
      <c r="F354" s="43" t="s">
        <v>1348</v>
      </c>
      <c r="G354" s="43" t="s">
        <v>666</v>
      </c>
      <c r="H354" s="98" t="s">
        <v>62</v>
      </c>
      <c r="I354" s="369" t="s">
        <v>46</v>
      </c>
      <c r="J354" s="370">
        <v>401569390</v>
      </c>
      <c r="K354" s="199"/>
      <c r="L354" s="98"/>
      <c r="M354" s="98"/>
      <c r="N354" s="98"/>
      <c r="O354" s="25">
        <v>0.01</v>
      </c>
      <c r="P354" s="371"/>
      <c r="Q354" s="371"/>
      <c r="R354" s="52">
        <v>2E-3</v>
      </c>
      <c r="S354" s="52">
        <v>1.025E-2</v>
      </c>
      <c r="T354" s="372"/>
      <c r="U354" s="370">
        <v>8851315</v>
      </c>
      <c r="V354" s="370">
        <v>3010519</v>
      </c>
      <c r="W354" s="199">
        <v>0</v>
      </c>
      <c r="X354" s="370">
        <v>3411921</v>
      </c>
      <c r="Y354" s="370">
        <v>702454</v>
      </c>
      <c r="Z354" s="370">
        <v>933204</v>
      </c>
      <c r="AA354" s="370">
        <v>99000</v>
      </c>
      <c r="AB354" s="370">
        <v>11944</v>
      </c>
      <c r="AC354" s="370">
        <v>0</v>
      </c>
      <c r="AD354" s="370">
        <f>145645+323068</f>
        <v>468713</v>
      </c>
      <c r="AE354" s="199"/>
      <c r="AF354" s="370">
        <v>213560</v>
      </c>
      <c r="AG354" s="199">
        <v>0</v>
      </c>
      <c r="AH354" s="199">
        <v>0</v>
      </c>
      <c r="AI354" s="98"/>
      <c r="AJ354" s="98">
        <v>2.21</v>
      </c>
      <c r="AK354" s="199"/>
    </row>
    <row r="355" spans="1:37">
      <c r="A355" s="367" t="s">
        <v>667</v>
      </c>
      <c r="B355" s="373" t="s">
        <v>668</v>
      </c>
      <c r="C355" s="373" t="s">
        <v>620</v>
      </c>
      <c r="D355" s="101" t="s">
        <v>553</v>
      </c>
      <c r="E355" s="95" t="s">
        <v>621</v>
      </c>
      <c r="F355" s="98" t="s">
        <v>1348</v>
      </c>
      <c r="G355" s="98" t="s">
        <v>759</v>
      </c>
      <c r="H355" s="98" t="s">
        <v>45</v>
      </c>
      <c r="I355" s="369" t="s">
        <v>46</v>
      </c>
      <c r="J355" s="370">
        <v>975411177</v>
      </c>
      <c r="K355" s="199"/>
      <c r="L355" s="98"/>
      <c r="M355" s="98"/>
      <c r="N355" s="98"/>
      <c r="O355" s="216">
        <v>5.0000000000000001E-3</v>
      </c>
      <c r="P355" s="371"/>
      <c r="Q355" s="371"/>
      <c r="R355" s="52">
        <v>2E-3</v>
      </c>
      <c r="S355" s="52">
        <v>1.4999999999999999E-2</v>
      </c>
      <c r="T355" s="372"/>
      <c r="U355" s="370">
        <v>18017333</v>
      </c>
      <c r="V355" s="370">
        <v>4880168</v>
      </c>
      <c r="W355" s="199">
        <v>0</v>
      </c>
      <c r="X355" s="370">
        <v>9760336</v>
      </c>
      <c r="Y355" s="370">
        <v>1464051</v>
      </c>
      <c r="Z355" s="370">
        <v>933204</v>
      </c>
      <c r="AA355" s="370">
        <v>0</v>
      </c>
      <c r="AB355" s="370">
        <v>0</v>
      </c>
      <c r="AC355" s="370">
        <v>0</v>
      </c>
      <c r="AD355" s="370">
        <f>113599+672252</f>
        <v>785851</v>
      </c>
      <c r="AE355" s="199"/>
      <c r="AF355" s="370">
        <v>193723</v>
      </c>
      <c r="AG355" s="199">
        <v>0</v>
      </c>
      <c r="AH355" s="199">
        <v>0</v>
      </c>
      <c r="AI355" s="98"/>
      <c r="AJ355" s="98"/>
      <c r="AK355" s="199"/>
    </row>
    <row r="356" spans="1:37">
      <c r="A356" s="367" t="s">
        <v>669</v>
      </c>
      <c r="B356" s="373" t="s">
        <v>670</v>
      </c>
      <c r="C356" s="373" t="s">
        <v>620</v>
      </c>
      <c r="D356" s="101" t="s">
        <v>553</v>
      </c>
      <c r="E356" s="95" t="s">
        <v>621</v>
      </c>
      <c r="F356" s="98" t="s">
        <v>1348</v>
      </c>
      <c r="G356" s="98" t="s">
        <v>759</v>
      </c>
      <c r="H356" s="98" t="s">
        <v>45</v>
      </c>
      <c r="I356" s="369" t="s">
        <v>46</v>
      </c>
      <c r="J356" s="370">
        <v>1434965359</v>
      </c>
      <c r="K356" s="199"/>
      <c r="L356" s="98"/>
      <c r="M356" s="98"/>
      <c r="N356" s="98"/>
      <c r="O356" s="216">
        <v>5.0000000000000001E-3</v>
      </c>
      <c r="P356" s="371"/>
      <c r="Q356" s="371"/>
      <c r="R356" s="52">
        <v>2E-3</v>
      </c>
      <c r="S356" s="52">
        <v>1.4999999999999999E-2</v>
      </c>
      <c r="T356" s="372"/>
      <c r="U356" s="370">
        <v>13717907</v>
      </c>
      <c r="V356" s="370">
        <v>3590063</v>
      </c>
      <c r="W356" s="199">
        <v>0</v>
      </c>
      <c r="X356" s="370">
        <v>7180126</v>
      </c>
      <c r="Y356" s="370">
        <v>1148820</v>
      </c>
      <c r="Z356" s="370">
        <v>933204</v>
      </c>
      <c r="AA356" s="370">
        <v>0</v>
      </c>
      <c r="AB356" s="370">
        <v>0</v>
      </c>
      <c r="AC356" s="370">
        <v>0</v>
      </c>
      <c r="AD356" s="370">
        <f>124082+543089</f>
        <v>667171</v>
      </c>
      <c r="AE356" s="199"/>
      <c r="AF356" s="370">
        <v>198523</v>
      </c>
      <c r="AG356" s="199">
        <v>0</v>
      </c>
      <c r="AH356" s="199">
        <v>0</v>
      </c>
      <c r="AI356" s="98"/>
      <c r="AJ356" s="98"/>
      <c r="AK356" s="199"/>
    </row>
    <row r="357" spans="1:37">
      <c r="A357" s="367" t="s">
        <v>671</v>
      </c>
      <c r="B357" s="22" t="s">
        <v>672</v>
      </c>
      <c r="C357" s="24" t="s">
        <v>620</v>
      </c>
      <c r="D357" s="43" t="s">
        <v>43</v>
      </c>
      <c r="E357" s="43" t="s">
        <v>44</v>
      </c>
      <c r="F357" s="43" t="s">
        <v>1348</v>
      </c>
      <c r="G357" s="43" t="s">
        <v>81</v>
      </c>
      <c r="H357" s="98" t="s">
        <v>45</v>
      </c>
      <c r="I357" s="369" t="s">
        <v>46</v>
      </c>
      <c r="J357" s="370">
        <v>2757505068</v>
      </c>
      <c r="K357" s="199"/>
      <c r="L357" s="98"/>
      <c r="M357" s="98"/>
      <c r="N357" s="98"/>
      <c r="O357" s="25">
        <v>5.0000000000000001E-3</v>
      </c>
      <c r="P357" s="371"/>
      <c r="Q357" s="371"/>
      <c r="R357" s="52">
        <v>2E-3</v>
      </c>
      <c r="S357" s="52">
        <v>1.525E-2</v>
      </c>
      <c r="T357" s="372"/>
      <c r="U357" s="370">
        <v>46664918</v>
      </c>
      <c r="V357" s="370">
        <v>6893763</v>
      </c>
      <c r="W357" s="199">
        <v>0</v>
      </c>
      <c r="X357" s="370">
        <v>31711308</v>
      </c>
      <c r="Y357" s="370">
        <v>5515010</v>
      </c>
      <c r="Z357" s="370">
        <v>933204</v>
      </c>
      <c r="AA357" s="370">
        <v>692000</v>
      </c>
      <c r="AB357" s="370">
        <v>11944</v>
      </c>
      <c r="AC357" s="370">
        <v>0</v>
      </c>
      <c r="AD357" s="370">
        <f>218394+173205</f>
        <v>391599</v>
      </c>
      <c r="AE357" s="199"/>
      <c r="AF357" s="370">
        <v>516090</v>
      </c>
      <c r="AG357" s="199">
        <v>0</v>
      </c>
      <c r="AH357" s="199">
        <v>0</v>
      </c>
      <c r="AI357" s="98"/>
      <c r="AJ357" s="98">
        <v>1.69</v>
      </c>
      <c r="AK357" s="199"/>
    </row>
    <row r="358" spans="1:37">
      <c r="A358" s="367" t="s">
        <v>673</v>
      </c>
      <c r="B358" s="22" t="s">
        <v>674</v>
      </c>
      <c r="C358" s="24" t="s">
        <v>620</v>
      </c>
      <c r="D358" s="101" t="s">
        <v>553</v>
      </c>
      <c r="E358" s="95" t="s">
        <v>621</v>
      </c>
      <c r="F358" s="43" t="s">
        <v>884</v>
      </c>
      <c r="G358" s="43" t="s">
        <v>622</v>
      </c>
      <c r="H358" s="98" t="s">
        <v>62</v>
      </c>
      <c r="I358" s="369" t="s">
        <v>46</v>
      </c>
      <c r="J358" s="370">
        <v>3149628115</v>
      </c>
      <c r="K358" s="199"/>
      <c r="L358" s="98"/>
      <c r="M358" s="98"/>
      <c r="N358" s="98"/>
      <c r="O358" s="25">
        <v>0.02</v>
      </c>
      <c r="P358" s="371"/>
      <c r="Q358" s="371"/>
      <c r="R358" s="52">
        <v>2E-3</v>
      </c>
      <c r="S358" s="52">
        <v>0</v>
      </c>
      <c r="T358" s="372"/>
      <c r="U358" s="370">
        <v>60155098</v>
      </c>
      <c r="V358" s="370">
        <v>60060798</v>
      </c>
      <c r="W358" s="199">
        <v>0</v>
      </c>
      <c r="X358" s="370">
        <v>0</v>
      </c>
      <c r="Y358" s="370">
        <v>0</v>
      </c>
      <c r="Z358" s="370">
        <v>0</v>
      </c>
      <c r="AA358" s="370">
        <v>0</v>
      </c>
      <c r="AB358" s="370">
        <v>0</v>
      </c>
      <c r="AC358" s="370">
        <v>0</v>
      </c>
      <c r="AD358" s="370">
        <v>0</v>
      </c>
      <c r="AE358" s="199"/>
      <c r="AF358" s="370">
        <v>94300</v>
      </c>
      <c r="AG358" s="199">
        <v>0</v>
      </c>
      <c r="AH358" s="199">
        <v>0</v>
      </c>
      <c r="AI358" s="98"/>
      <c r="AJ358" s="98"/>
      <c r="AK358" s="199"/>
    </row>
    <row r="359" spans="1:37">
      <c r="A359" s="367" t="s">
        <v>675</v>
      </c>
      <c r="B359" s="22" t="s">
        <v>676</v>
      </c>
      <c r="C359" s="24" t="s">
        <v>620</v>
      </c>
      <c r="D359" s="101" t="s">
        <v>553</v>
      </c>
      <c r="E359" s="95" t="s">
        <v>621</v>
      </c>
      <c r="F359" s="43" t="s">
        <v>884</v>
      </c>
      <c r="G359" s="43" t="s">
        <v>622</v>
      </c>
      <c r="H359" s="98" t="s">
        <v>62</v>
      </c>
      <c r="I359" s="369" t="s">
        <v>46</v>
      </c>
      <c r="J359" s="370">
        <v>2496300332</v>
      </c>
      <c r="K359" s="370">
        <v>374170500</v>
      </c>
      <c r="L359" s="374">
        <v>41463</v>
      </c>
      <c r="M359" s="98"/>
      <c r="N359" s="98"/>
      <c r="O359" s="25">
        <v>0.02</v>
      </c>
      <c r="P359" s="371"/>
      <c r="Q359" s="371"/>
      <c r="R359" s="52">
        <v>2E-3</v>
      </c>
      <c r="S359" s="52">
        <v>0</v>
      </c>
      <c r="T359" s="372"/>
      <c r="U359" s="370">
        <v>31275175</v>
      </c>
      <c r="V359" s="370">
        <v>31180875</v>
      </c>
      <c r="W359" s="199">
        <v>0</v>
      </c>
      <c r="X359" s="370">
        <v>0</v>
      </c>
      <c r="Y359" s="370">
        <v>0</v>
      </c>
      <c r="Z359" s="370">
        <v>0</v>
      </c>
      <c r="AA359" s="370">
        <v>0</v>
      </c>
      <c r="AB359" s="370">
        <v>0</v>
      </c>
      <c r="AC359" s="370">
        <v>0</v>
      </c>
      <c r="AD359" s="370">
        <v>0</v>
      </c>
      <c r="AE359" s="199"/>
      <c r="AF359" s="370">
        <v>94300</v>
      </c>
      <c r="AG359" s="199">
        <v>0</v>
      </c>
      <c r="AH359" s="199">
        <v>0</v>
      </c>
      <c r="AI359" s="98"/>
      <c r="AJ359" s="98"/>
      <c r="AK359" s="199"/>
    </row>
    <row r="360" spans="1:37">
      <c r="A360" s="367" t="s">
        <v>677</v>
      </c>
      <c r="B360" s="22" t="s">
        <v>678</v>
      </c>
      <c r="C360" s="24" t="s">
        <v>620</v>
      </c>
      <c r="D360" s="101" t="s">
        <v>553</v>
      </c>
      <c r="E360" s="95" t="s">
        <v>621</v>
      </c>
      <c r="F360" s="43" t="s">
        <v>884</v>
      </c>
      <c r="G360" s="43" t="s">
        <v>622</v>
      </c>
      <c r="H360" s="98" t="s">
        <v>62</v>
      </c>
      <c r="I360" s="369" t="s">
        <v>46</v>
      </c>
      <c r="J360" s="370">
        <v>3497818011</v>
      </c>
      <c r="K360" s="199"/>
      <c r="L360" s="98"/>
      <c r="M360" s="98"/>
      <c r="N360" s="98"/>
      <c r="O360" s="25">
        <v>2.5000000000000001E-2</v>
      </c>
      <c r="P360" s="371"/>
      <c r="Q360" s="371"/>
      <c r="R360" s="52">
        <v>2E-3</v>
      </c>
      <c r="S360" s="52">
        <v>0</v>
      </c>
      <c r="T360" s="372"/>
      <c r="U360" s="370">
        <v>35420603</v>
      </c>
      <c r="V360" s="370">
        <v>35326303</v>
      </c>
      <c r="W360" s="199">
        <v>0</v>
      </c>
      <c r="X360" s="370">
        <v>0</v>
      </c>
      <c r="Y360" s="370">
        <v>0</v>
      </c>
      <c r="Z360" s="370">
        <v>0</v>
      </c>
      <c r="AA360" s="370">
        <v>0</v>
      </c>
      <c r="AB360" s="370">
        <v>0</v>
      </c>
      <c r="AC360" s="370">
        <v>0</v>
      </c>
      <c r="AD360" s="370">
        <v>0</v>
      </c>
      <c r="AE360" s="199"/>
      <c r="AF360" s="370">
        <v>94300</v>
      </c>
      <c r="AG360" s="199">
        <v>0</v>
      </c>
      <c r="AH360" s="199">
        <v>0</v>
      </c>
      <c r="AI360" s="98"/>
      <c r="AJ360" s="98"/>
      <c r="AK360" s="199"/>
    </row>
    <row r="361" spans="1:37">
      <c r="A361" s="367" t="s">
        <v>679</v>
      </c>
      <c r="B361" s="22" t="s">
        <v>680</v>
      </c>
      <c r="C361" s="24" t="s">
        <v>620</v>
      </c>
      <c r="D361" s="101" t="s">
        <v>553</v>
      </c>
      <c r="E361" s="95" t="s">
        <v>621</v>
      </c>
      <c r="F361" s="43" t="s">
        <v>884</v>
      </c>
      <c r="G361" s="43" t="s">
        <v>622</v>
      </c>
      <c r="H361" s="98" t="s">
        <v>62</v>
      </c>
      <c r="I361" s="369" t="s">
        <v>46</v>
      </c>
      <c r="J361" s="370">
        <v>2465650374</v>
      </c>
      <c r="K361" s="199"/>
      <c r="L361" s="98"/>
      <c r="M361" s="98"/>
      <c r="N361" s="98"/>
      <c r="O361" s="25">
        <v>0.02</v>
      </c>
      <c r="P361" s="371"/>
      <c r="Q361" s="371"/>
      <c r="R361" s="52">
        <v>2E-3</v>
      </c>
      <c r="S361" s="52">
        <v>0</v>
      </c>
      <c r="T361" s="372"/>
      <c r="U361" s="370">
        <v>24421101</v>
      </c>
      <c r="V361" s="370">
        <v>24326801</v>
      </c>
      <c r="W361" s="199">
        <v>0</v>
      </c>
      <c r="X361" s="370">
        <v>0</v>
      </c>
      <c r="Y361" s="370">
        <v>0</v>
      </c>
      <c r="Z361" s="370">
        <v>0</v>
      </c>
      <c r="AA361" s="370">
        <v>0</v>
      </c>
      <c r="AB361" s="370">
        <v>0</v>
      </c>
      <c r="AC361" s="370">
        <v>0</v>
      </c>
      <c r="AD361" s="370">
        <v>0</v>
      </c>
      <c r="AE361" s="199"/>
      <c r="AF361" s="370">
        <v>94300</v>
      </c>
      <c r="AG361" s="199">
        <v>0</v>
      </c>
      <c r="AH361" s="199">
        <v>0</v>
      </c>
      <c r="AI361" s="98"/>
      <c r="AJ361" s="98"/>
      <c r="AK361" s="199"/>
    </row>
    <row r="362" spans="1:37">
      <c r="A362" s="367" t="s">
        <v>681</v>
      </c>
      <c r="B362" s="22" t="s">
        <v>682</v>
      </c>
      <c r="C362" s="24" t="s">
        <v>620</v>
      </c>
      <c r="D362" s="43" t="s">
        <v>43</v>
      </c>
      <c r="E362" s="43" t="s">
        <v>44</v>
      </c>
      <c r="F362" s="43" t="s">
        <v>1348</v>
      </c>
      <c r="G362" s="43" t="s">
        <v>641</v>
      </c>
      <c r="H362" s="98" t="s">
        <v>62</v>
      </c>
      <c r="I362" s="369" t="s">
        <v>239</v>
      </c>
      <c r="J362" s="370">
        <v>18942867.93</v>
      </c>
      <c r="K362" s="199"/>
      <c r="L362" s="98"/>
      <c r="M362" s="98"/>
      <c r="N362" s="98"/>
      <c r="O362" s="25">
        <v>0.01</v>
      </c>
      <c r="P362" s="371"/>
      <c r="Q362" s="371"/>
      <c r="R362" s="52">
        <v>2E-3</v>
      </c>
      <c r="S362" s="52">
        <v>1.025E-2</v>
      </c>
      <c r="T362" s="372"/>
      <c r="U362" s="370">
        <v>142014</v>
      </c>
      <c r="V362" s="370">
        <v>94714</v>
      </c>
      <c r="W362" s="199">
        <v>0</v>
      </c>
      <c r="X362" s="370">
        <v>18943</v>
      </c>
      <c r="Y362" s="370">
        <v>18943</v>
      </c>
      <c r="Z362" s="370">
        <v>4104</v>
      </c>
      <c r="AA362" s="370">
        <v>4815</v>
      </c>
      <c r="AB362" s="370">
        <v>56</v>
      </c>
      <c r="AC362" s="370">
        <v>0</v>
      </c>
      <c r="AD362" s="370">
        <v>0</v>
      </c>
      <c r="AE362" s="199"/>
      <c r="AF362" s="370">
        <v>439</v>
      </c>
      <c r="AG362" s="199">
        <v>0</v>
      </c>
      <c r="AH362" s="199">
        <v>0</v>
      </c>
      <c r="AI362" s="98"/>
      <c r="AJ362" s="98">
        <v>0.75</v>
      </c>
      <c r="AK362" s="199"/>
    </row>
    <row r="363" spans="1:37">
      <c r="A363" s="106" t="s">
        <v>683</v>
      </c>
      <c r="B363" s="22" t="s">
        <v>684</v>
      </c>
      <c r="C363" s="24" t="s">
        <v>620</v>
      </c>
      <c r="D363" s="43" t="s">
        <v>43</v>
      </c>
      <c r="E363" s="43" t="s">
        <v>44</v>
      </c>
      <c r="F363" s="43" t="s">
        <v>1348</v>
      </c>
      <c r="G363" s="43" t="s">
        <v>641</v>
      </c>
      <c r="H363" s="98" t="s">
        <v>45</v>
      </c>
      <c r="I363" s="369" t="s">
        <v>46</v>
      </c>
      <c r="J363" s="370">
        <v>1217386830</v>
      </c>
      <c r="K363" s="199"/>
      <c r="L363" s="98"/>
      <c r="M363" s="98"/>
      <c r="N363" s="98"/>
      <c r="O363" s="25">
        <v>5.0000000000000001E-3</v>
      </c>
      <c r="P363" s="371"/>
      <c r="Q363" s="371"/>
      <c r="R363" s="52">
        <v>2E-3</v>
      </c>
      <c r="S363" s="52">
        <v>1.525E-2</v>
      </c>
      <c r="T363" s="372"/>
      <c r="U363" s="370">
        <v>22038314</v>
      </c>
      <c r="V363" s="370">
        <v>3652160</v>
      </c>
      <c r="W363" s="199">
        <v>0</v>
      </c>
      <c r="X363" s="370">
        <v>14608642</v>
      </c>
      <c r="Y363" s="370">
        <v>2434774</v>
      </c>
      <c r="Z363" s="370">
        <v>930239</v>
      </c>
      <c r="AA363" s="370">
        <v>305000</v>
      </c>
      <c r="AB363" s="370">
        <v>11944</v>
      </c>
      <c r="AC363" s="370">
        <v>0</v>
      </c>
      <c r="AD363" s="370">
        <v>0</v>
      </c>
      <c r="AE363" s="199"/>
      <c r="AF363" s="370">
        <v>95555</v>
      </c>
      <c r="AG363" s="199">
        <v>0</v>
      </c>
      <c r="AH363" s="199">
        <v>0</v>
      </c>
      <c r="AI363" s="98"/>
      <c r="AJ363" s="98">
        <v>0.46</v>
      </c>
      <c r="AK363" s="199"/>
    </row>
    <row r="364" spans="1:37">
      <c r="A364" s="106" t="s">
        <v>685</v>
      </c>
      <c r="B364" s="22" t="s">
        <v>686</v>
      </c>
      <c r="C364" s="24" t="s">
        <v>620</v>
      </c>
      <c r="D364" s="101" t="s">
        <v>553</v>
      </c>
      <c r="E364" s="95" t="s">
        <v>621</v>
      </c>
      <c r="F364" s="43" t="s">
        <v>884</v>
      </c>
      <c r="G364" s="43" t="s">
        <v>622</v>
      </c>
      <c r="H364" s="98" t="s">
        <v>62</v>
      </c>
      <c r="I364" s="369" t="s">
        <v>46</v>
      </c>
      <c r="J364" s="370">
        <v>2224657241</v>
      </c>
      <c r="K364" s="199"/>
      <c r="L364" s="98"/>
      <c r="M364" s="98"/>
      <c r="N364" s="98"/>
      <c r="O364" s="25">
        <v>0.02</v>
      </c>
      <c r="P364" s="371"/>
      <c r="Q364" s="371"/>
      <c r="R364" s="52">
        <v>2E-3</v>
      </c>
      <c r="S364" s="52">
        <v>0</v>
      </c>
      <c r="T364" s="372"/>
      <c r="U364" s="370">
        <v>24645231</v>
      </c>
      <c r="V364" s="370">
        <v>24554481</v>
      </c>
      <c r="W364" s="199">
        <v>0</v>
      </c>
      <c r="X364" s="370">
        <v>0</v>
      </c>
      <c r="Y364" s="370">
        <v>0</v>
      </c>
      <c r="Z364" s="370">
        <v>0</v>
      </c>
      <c r="AA364" s="370">
        <v>0</v>
      </c>
      <c r="AB364" s="370">
        <v>0</v>
      </c>
      <c r="AC364" s="370">
        <v>0</v>
      </c>
      <c r="AD364" s="370">
        <v>0</v>
      </c>
      <c r="AE364" s="199"/>
      <c r="AF364" s="370">
        <v>90750</v>
      </c>
      <c r="AG364" s="199">
        <v>0</v>
      </c>
      <c r="AH364" s="199">
        <v>0</v>
      </c>
      <c r="AI364" s="98"/>
      <c r="AJ364" s="98"/>
      <c r="AK364" s="199"/>
    </row>
    <row r="365" spans="1:37">
      <c r="A365" s="375" t="s">
        <v>687</v>
      </c>
      <c r="B365" s="376" t="s">
        <v>688</v>
      </c>
      <c r="C365" s="373" t="s">
        <v>620</v>
      </c>
      <c r="D365" s="43" t="s">
        <v>43</v>
      </c>
      <c r="E365" s="43" t="s">
        <v>44</v>
      </c>
      <c r="F365" s="43" t="s">
        <v>1348</v>
      </c>
      <c r="G365" s="43" t="s">
        <v>641</v>
      </c>
      <c r="H365" s="98" t="s">
        <v>45</v>
      </c>
      <c r="I365" s="369" t="s">
        <v>46</v>
      </c>
      <c r="J365" s="370">
        <v>739315263</v>
      </c>
      <c r="K365" s="199"/>
      <c r="L365" s="98"/>
      <c r="M365" s="98"/>
      <c r="N365" s="98"/>
      <c r="O365" s="216">
        <v>5.0000000000000001E-3</v>
      </c>
      <c r="P365" s="371"/>
      <c r="Q365" s="371"/>
      <c r="R365" s="52">
        <v>2E-3</v>
      </c>
      <c r="S365" s="52">
        <v>1.525E-2</v>
      </c>
      <c r="T365" s="372"/>
      <c r="U365" s="370">
        <v>2532016</v>
      </c>
      <c r="V365" s="370">
        <v>370670</v>
      </c>
      <c r="W365" s="199">
        <v>0</v>
      </c>
      <c r="X365" s="370">
        <v>1482682</v>
      </c>
      <c r="Y365" s="370">
        <v>247114</v>
      </c>
      <c r="Z365" s="370">
        <v>381000</v>
      </c>
      <c r="AA365" s="370">
        <v>30000</v>
      </c>
      <c r="AB365" s="370">
        <v>0</v>
      </c>
      <c r="AC365" s="370">
        <v>0</v>
      </c>
      <c r="AD365" s="370">
        <v>0</v>
      </c>
      <c r="AE365" s="199"/>
      <c r="AF365" s="370">
        <v>20550</v>
      </c>
      <c r="AG365" s="199">
        <v>0</v>
      </c>
      <c r="AH365" s="199">
        <v>0</v>
      </c>
      <c r="AI365" s="98"/>
      <c r="AJ365" s="98">
        <v>1.39</v>
      </c>
      <c r="AK365" s="199"/>
    </row>
    <row r="366" spans="1:37" ht="178.5">
      <c r="A366" s="107" t="s">
        <v>689</v>
      </c>
      <c r="B366" s="53" t="s">
        <v>690</v>
      </c>
      <c r="C366" s="53" t="s">
        <v>691</v>
      </c>
      <c r="D366" s="99" t="s">
        <v>43</v>
      </c>
      <c r="E366" s="99" t="s">
        <v>44</v>
      </c>
      <c r="F366" s="99" t="s">
        <v>132</v>
      </c>
      <c r="G366" s="99" t="s">
        <v>116</v>
      </c>
      <c r="H366" s="99" t="s">
        <v>45</v>
      </c>
      <c r="I366" s="53" t="s">
        <v>46</v>
      </c>
      <c r="J366" s="54">
        <v>32427066777.366936</v>
      </c>
      <c r="K366" s="54">
        <v>0</v>
      </c>
      <c r="L366" s="53"/>
      <c r="M366" s="55">
        <v>6.7113880385180735</v>
      </c>
      <c r="N366" s="53"/>
      <c r="O366" s="56" t="s">
        <v>692</v>
      </c>
      <c r="P366" s="56">
        <v>0</v>
      </c>
      <c r="Q366" s="56"/>
      <c r="R366" s="56" t="s">
        <v>693</v>
      </c>
      <c r="S366" s="56"/>
      <c r="T366" s="53"/>
      <c r="U366" s="54">
        <v>2533638734</v>
      </c>
      <c r="V366" s="54">
        <v>650310168</v>
      </c>
      <c r="W366" s="54">
        <v>0</v>
      </c>
      <c r="X366" s="54">
        <v>0</v>
      </c>
      <c r="Y366" s="54">
        <v>40644386</v>
      </c>
      <c r="Z366" s="54">
        <v>2449374</v>
      </c>
      <c r="AA366" s="54">
        <v>8116000</v>
      </c>
      <c r="AB366" s="54">
        <v>6188367</v>
      </c>
      <c r="AC366" s="54">
        <v>42947572</v>
      </c>
      <c r="AD366" s="54">
        <v>0</v>
      </c>
      <c r="AE366" s="54">
        <v>0</v>
      </c>
      <c r="AF366" s="54">
        <v>1370637</v>
      </c>
      <c r="AG366" s="54">
        <v>1435301743</v>
      </c>
      <c r="AH366" s="54">
        <v>346310487</v>
      </c>
      <c r="AI366" s="53">
        <v>0</v>
      </c>
      <c r="AJ366" s="56">
        <v>3.3828725907631203E-2</v>
      </c>
      <c r="AK366" s="54">
        <v>0</v>
      </c>
    </row>
    <row r="367" spans="1:37">
      <c r="A367" s="107" t="s">
        <v>694</v>
      </c>
      <c r="B367" s="53" t="s">
        <v>695</v>
      </c>
      <c r="C367" s="53" t="s">
        <v>691</v>
      </c>
      <c r="D367" s="99" t="s">
        <v>553</v>
      </c>
      <c r="E367" s="96" t="s">
        <v>621</v>
      </c>
      <c r="F367" s="99" t="s">
        <v>1348</v>
      </c>
      <c r="G367" s="206" t="s">
        <v>884</v>
      </c>
      <c r="H367" s="99" t="s">
        <v>45</v>
      </c>
      <c r="I367" s="53" t="s">
        <v>46</v>
      </c>
      <c r="J367" s="54">
        <v>1907212235.174089</v>
      </c>
      <c r="K367" s="54">
        <v>0</v>
      </c>
      <c r="L367" s="53"/>
      <c r="M367" s="55">
        <v>5.3876320006834399</v>
      </c>
      <c r="N367" s="53"/>
      <c r="O367" s="56" t="s">
        <v>696</v>
      </c>
      <c r="P367" s="56">
        <v>0</v>
      </c>
      <c r="Q367" s="56"/>
      <c r="R367" s="56" t="s">
        <v>697</v>
      </c>
      <c r="S367" s="56"/>
      <c r="T367" s="53"/>
      <c r="U367" s="54">
        <v>32772533</v>
      </c>
      <c r="V367" s="54">
        <v>32058320</v>
      </c>
      <c r="W367" s="54">
        <v>0</v>
      </c>
      <c r="X367" s="54">
        <v>0</v>
      </c>
      <c r="Y367" s="54">
        <v>0</v>
      </c>
      <c r="Z367" s="54">
        <v>0</v>
      </c>
      <c r="AA367" s="54">
        <v>477000</v>
      </c>
      <c r="AB367" s="54">
        <v>0</v>
      </c>
      <c r="AC367" s="54">
        <v>0</v>
      </c>
      <c r="AD367" s="54">
        <v>0</v>
      </c>
      <c r="AE367" s="54">
        <v>0</v>
      </c>
      <c r="AF367" s="54">
        <v>74713</v>
      </c>
      <c r="AG367" s="54">
        <v>0</v>
      </c>
      <c r="AH367" s="54">
        <v>162500</v>
      </c>
      <c r="AI367" s="53">
        <v>0</v>
      </c>
      <c r="AJ367" s="56"/>
      <c r="AK367" s="54">
        <v>0</v>
      </c>
    </row>
    <row r="368" spans="1:37">
      <c r="A368" s="107" t="s">
        <v>698</v>
      </c>
      <c r="B368" s="53" t="s">
        <v>699</v>
      </c>
      <c r="C368" s="53" t="s">
        <v>691</v>
      </c>
      <c r="D368" s="99" t="s">
        <v>553</v>
      </c>
      <c r="E368" s="96" t="s">
        <v>621</v>
      </c>
      <c r="F368" s="99" t="s">
        <v>1348</v>
      </c>
      <c r="G368" s="206" t="s">
        <v>884</v>
      </c>
      <c r="H368" s="99" t="s">
        <v>45</v>
      </c>
      <c r="I368" s="53" t="s">
        <v>46</v>
      </c>
      <c r="J368" s="54">
        <v>1450401514.2955465</v>
      </c>
      <c r="K368" s="54">
        <v>0</v>
      </c>
      <c r="L368" s="53"/>
      <c r="M368" s="55">
        <v>7.6672330882023854</v>
      </c>
      <c r="N368" s="53"/>
      <c r="O368" s="56" t="s">
        <v>696</v>
      </c>
      <c r="P368" s="56">
        <v>0</v>
      </c>
      <c r="Q368" s="56"/>
      <c r="R368" s="56" t="s">
        <v>697</v>
      </c>
      <c r="S368" s="56"/>
      <c r="T368" s="53"/>
      <c r="U368" s="54">
        <v>20756919</v>
      </c>
      <c r="V368" s="54">
        <v>20156833</v>
      </c>
      <c r="W368" s="54">
        <v>0</v>
      </c>
      <c r="X368" s="54">
        <v>0</v>
      </c>
      <c r="Y368" s="54">
        <v>0</v>
      </c>
      <c r="Z368" s="54">
        <v>0</v>
      </c>
      <c r="AA368" s="54">
        <v>363000</v>
      </c>
      <c r="AB368" s="54">
        <v>0</v>
      </c>
      <c r="AC368" s="54">
        <v>0</v>
      </c>
      <c r="AD368" s="54">
        <v>0</v>
      </c>
      <c r="AE368" s="54">
        <v>0</v>
      </c>
      <c r="AF368" s="54">
        <v>74586</v>
      </c>
      <c r="AG368" s="54">
        <v>0</v>
      </c>
      <c r="AH368" s="54">
        <v>162500</v>
      </c>
      <c r="AI368" s="53">
        <v>0</v>
      </c>
      <c r="AJ368" s="56"/>
      <c r="AK368" s="54">
        <v>0</v>
      </c>
    </row>
    <row r="369" spans="1:39">
      <c r="A369" s="107" t="s">
        <v>700</v>
      </c>
      <c r="B369" s="53" t="s">
        <v>701</v>
      </c>
      <c r="C369" s="53" t="s">
        <v>691</v>
      </c>
      <c r="D369" s="99" t="s">
        <v>553</v>
      </c>
      <c r="E369" s="96" t="s">
        <v>621</v>
      </c>
      <c r="F369" s="99" t="s">
        <v>1348</v>
      </c>
      <c r="G369" s="206" t="s">
        <v>884</v>
      </c>
      <c r="H369" s="99" t="s">
        <v>45</v>
      </c>
      <c r="I369" s="53" t="s">
        <v>46</v>
      </c>
      <c r="J369" s="54">
        <v>1521006351.562753</v>
      </c>
      <c r="K369" s="54">
        <v>0</v>
      </c>
      <c r="L369" s="53"/>
      <c r="M369" s="55">
        <v>2.8609904404584663</v>
      </c>
      <c r="N369" s="53"/>
      <c r="O369" s="56" t="s">
        <v>696</v>
      </c>
      <c r="P369" s="56">
        <v>0</v>
      </c>
      <c r="Q369" s="56"/>
      <c r="R369" s="56" t="s">
        <v>697</v>
      </c>
      <c r="S369" s="56"/>
      <c r="T369" s="53"/>
      <c r="U369" s="54">
        <v>25659055</v>
      </c>
      <c r="V369" s="54">
        <v>24980145</v>
      </c>
      <c r="W369" s="54">
        <v>0</v>
      </c>
      <c r="X369" s="54">
        <v>0</v>
      </c>
      <c r="Y369" s="54">
        <v>0</v>
      </c>
      <c r="Z369" s="54">
        <v>0</v>
      </c>
      <c r="AA369" s="54">
        <v>379000</v>
      </c>
      <c r="AB369" s="54">
        <v>0</v>
      </c>
      <c r="AC369" s="54">
        <v>0</v>
      </c>
      <c r="AD369" s="54">
        <v>0</v>
      </c>
      <c r="AE369" s="54">
        <v>0</v>
      </c>
      <c r="AF369" s="54">
        <v>74910</v>
      </c>
      <c r="AG369" s="54">
        <v>0</v>
      </c>
      <c r="AH369" s="54">
        <v>225000</v>
      </c>
      <c r="AI369" s="53">
        <v>0</v>
      </c>
      <c r="AJ369" s="56"/>
      <c r="AK369" s="54">
        <v>0</v>
      </c>
    </row>
    <row r="370" spans="1:39">
      <c r="A370" s="377" t="s">
        <v>704</v>
      </c>
      <c r="B370" s="378" t="s">
        <v>705</v>
      </c>
      <c r="C370" s="378" t="s">
        <v>706</v>
      </c>
      <c r="D370" s="121" t="s">
        <v>43</v>
      </c>
      <c r="E370" s="121" t="s">
        <v>44</v>
      </c>
      <c r="F370" s="121" t="s">
        <v>1349</v>
      </c>
      <c r="G370" s="121" t="s">
        <v>58</v>
      </c>
      <c r="H370" s="121" t="s">
        <v>45</v>
      </c>
      <c r="I370" s="378" t="s">
        <v>46</v>
      </c>
      <c r="J370" s="379">
        <v>2543841648.7004046</v>
      </c>
      <c r="K370" s="200"/>
      <c r="L370" s="378"/>
      <c r="M370" s="380">
        <v>1.9210999999999999E-2</v>
      </c>
      <c r="N370" s="380">
        <v>2.1509E-2</v>
      </c>
      <c r="O370" s="381" t="s">
        <v>707</v>
      </c>
      <c r="P370" s="381"/>
      <c r="Q370" s="381"/>
      <c r="R370" s="382" t="s">
        <v>708</v>
      </c>
      <c r="S370" s="383"/>
      <c r="T370" s="384"/>
      <c r="U370" s="200">
        <f>SUM(V370:AH370)</f>
        <v>14567935</v>
      </c>
      <c r="V370" s="379">
        <v>12701288</v>
      </c>
      <c r="W370" s="379">
        <v>0</v>
      </c>
      <c r="X370" s="200"/>
      <c r="Y370" s="379">
        <v>590137</v>
      </c>
      <c r="Z370" s="200">
        <v>334288</v>
      </c>
      <c r="AA370" s="200">
        <v>636000</v>
      </c>
      <c r="AB370" s="200"/>
      <c r="AC370" s="200"/>
      <c r="AD370" s="200">
        <v>229400</v>
      </c>
      <c r="AE370" s="200"/>
      <c r="AF370" s="200">
        <v>76822</v>
      </c>
      <c r="AG370" s="200"/>
      <c r="AH370" s="200">
        <v>0</v>
      </c>
      <c r="AI370" s="165"/>
      <c r="AJ370" s="166">
        <v>5.5999999999999999E-3</v>
      </c>
      <c r="AK370" s="200"/>
      <c r="AL370" s="377"/>
      <c r="AM370" s="377"/>
    </row>
    <row r="371" spans="1:39">
      <c r="A371" s="377" t="s">
        <v>709</v>
      </c>
      <c r="B371" s="378" t="s">
        <v>710</v>
      </c>
      <c r="C371" s="378" t="s">
        <v>706</v>
      </c>
      <c r="D371" s="121" t="s">
        <v>43</v>
      </c>
      <c r="E371" s="121" t="s">
        <v>44</v>
      </c>
      <c r="F371" s="121" t="s">
        <v>1348</v>
      </c>
      <c r="G371" s="246" t="s">
        <v>365</v>
      </c>
      <c r="H371" s="378" t="s">
        <v>1354</v>
      </c>
      <c r="I371" s="378" t="s">
        <v>69</v>
      </c>
      <c r="J371" s="379">
        <v>1360612.1814516129</v>
      </c>
      <c r="K371" s="200"/>
      <c r="L371" s="378"/>
      <c r="M371" s="380">
        <v>6.6709999999999998E-3</v>
      </c>
      <c r="N371" s="380"/>
      <c r="O371" s="381" t="s">
        <v>711</v>
      </c>
      <c r="P371" s="381"/>
      <c r="Q371" s="381"/>
      <c r="R371" s="382" t="s">
        <v>708</v>
      </c>
      <c r="S371" s="383"/>
      <c r="T371" s="384"/>
      <c r="U371" s="200">
        <f t="shared" ref="U371:U434" si="11">SUM(V371:AH371)</f>
        <v>7018.2039675322485</v>
      </c>
      <c r="V371" s="379">
        <v>6496</v>
      </c>
      <c r="W371" s="379">
        <v>0</v>
      </c>
      <c r="X371" s="200"/>
      <c r="Y371" s="379">
        <v>62</v>
      </c>
      <c r="Z371" s="200">
        <v>0</v>
      </c>
      <c r="AA371" s="200">
        <v>339</v>
      </c>
      <c r="AB371" s="200"/>
      <c r="AC371" s="200"/>
      <c r="AD371" s="200">
        <v>0</v>
      </c>
      <c r="AE371" s="200"/>
      <c r="AF371" s="200">
        <v>121.20396753224881</v>
      </c>
      <c r="AG371" s="200"/>
      <c r="AH371" s="200">
        <v>0</v>
      </c>
      <c r="AI371" s="165"/>
      <c r="AJ371" s="166">
        <v>5.1000000000000004E-3</v>
      </c>
      <c r="AK371" s="200"/>
      <c r="AL371" s="377"/>
      <c r="AM371" s="377"/>
    </row>
    <row r="372" spans="1:39">
      <c r="A372" s="377" t="s">
        <v>712</v>
      </c>
      <c r="B372" s="378" t="s">
        <v>713</v>
      </c>
      <c r="C372" s="378" t="s">
        <v>706</v>
      </c>
      <c r="D372" s="121" t="s">
        <v>43</v>
      </c>
      <c r="E372" s="121" t="s">
        <v>44</v>
      </c>
      <c r="F372" s="121" t="s">
        <v>1348</v>
      </c>
      <c r="G372" s="246" t="s">
        <v>365</v>
      </c>
      <c r="H372" s="378" t="s">
        <v>1354</v>
      </c>
      <c r="I372" s="378" t="s">
        <v>714</v>
      </c>
      <c r="J372" s="379">
        <v>14225904.427419355</v>
      </c>
      <c r="K372" s="200"/>
      <c r="L372" s="378"/>
      <c r="M372" s="380">
        <v>7.2890000000000003E-3</v>
      </c>
      <c r="N372" s="380"/>
      <c r="O372" s="381" t="s">
        <v>711</v>
      </c>
      <c r="P372" s="381"/>
      <c r="Q372" s="381"/>
      <c r="R372" s="382" t="s">
        <v>708</v>
      </c>
      <c r="S372" s="383"/>
      <c r="T372" s="384"/>
      <c r="U372" s="200">
        <f t="shared" si="11"/>
        <v>141960.41387260391</v>
      </c>
      <c r="V372" s="379">
        <v>133349</v>
      </c>
      <c r="W372" s="379">
        <v>0</v>
      </c>
      <c r="X372" s="200"/>
      <c r="Y372" s="379">
        <v>942</v>
      </c>
      <c r="Z372" s="200">
        <v>3317</v>
      </c>
      <c r="AA372" s="200">
        <v>3547</v>
      </c>
      <c r="AB372" s="200"/>
      <c r="AC372" s="200"/>
      <c r="AD372" s="200">
        <v>0</v>
      </c>
      <c r="AE372" s="200"/>
      <c r="AF372" s="200">
        <v>805.41387260391275</v>
      </c>
      <c r="AG372" s="200"/>
      <c r="AH372" s="200">
        <v>0</v>
      </c>
      <c r="AI372" s="165"/>
      <c r="AJ372" s="166">
        <v>9.9000000000000008E-3</v>
      </c>
      <c r="AK372" s="200"/>
      <c r="AL372" s="377"/>
      <c r="AM372" s="377"/>
    </row>
    <row r="373" spans="1:39">
      <c r="A373" s="377" t="s">
        <v>715</v>
      </c>
      <c r="B373" s="378" t="s">
        <v>716</v>
      </c>
      <c r="C373" s="378" t="s">
        <v>706</v>
      </c>
      <c r="D373" s="121" t="s">
        <v>43</v>
      </c>
      <c r="E373" s="121" t="s">
        <v>44</v>
      </c>
      <c r="F373" s="121" t="s">
        <v>884</v>
      </c>
      <c r="G373" s="121" t="s">
        <v>97</v>
      </c>
      <c r="H373" s="378" t="s">
        <v>1358</v>
      </c>
      <c r="I373" s="378" t="s">
        <v>46</v>
      </c>
      <c r="J373" s="379">
        <v>5830424250.9271259</v>
      </c>
      <c r="K373" s="200"/>
      <c r="L373" s="378"/>
      <c r="M373" s="380">
        <v>0.161439</v>
      </c>
      <c r="N373" s="380">
        <v>4.6698000000000003E-2</v>
      </c>
      <c r="O373" s="381" t="s">
        <v>717</v>
      </c>
      <c r="P373" s="381">
        <v>0.2</v>
      </c>
      <c r="Q373" s="381" t="s">
        <v>108</v>
      </c>
      <c r="R373" s="382" t="s">
        <v>708</v>
      </c>
      <c r="S373" s="383"/>
      <c r="T373" s="384"/>
      <c r="U373" s="200">
        <f t="shared" si="11"/>
        <v>275620904.49021405</v>
      </c>
      <c r="V373" s="379">
        <v>106526984.73723784</v>
      </c>
      <c r="W373" s="379">
        <v>155001084.32347354</v>
      </c>
      <c r="X373" s="200"/>
      <c r="Y373" s="379">
        <v>1631021.7016181124</v>
      </c>
      <c r="Z373" s="200">
        <v>396566.13076328608</v>
      </c>
      <c r="AA373" s="200">
        <v>1456838.2370897022</v>
      </c>
      <c r="AB373" s="200"/>
      <c r="AC373" s="200"/>
      <c r="AD373" s="200">
        <v>10376910.359534863</v>
      </c>
      <c r="AE373" s="200"/>
      <c r="AF373" s="200">
        <v>228920.97955234614</v>
      </c>
      <c r="AG373" s="200"/>
      <c r="AH373" s="200">
        <v>2578.0209443539366</v>
      </c>
      <c r="AI373" s="165"/>
      <c r="AJ373" s="166">
        <v>1.89E-2</v>
      </c>
      <c r="AK373" s="200"/>
      <c r="AL373" s="377"/>
      <c r="AM373" s="377"/>
    </row>
    <row r="374" spans="1:39">
      <c r="A374" s="377" t="s">
        <v>718</v>
      </c>
      <c r="B374" s="378" t="s">
        <v>719</v>
      </c>
      <c r="C374" s="378" t="s">
        <v>706</v>
      </c>
      <c r="D374" s="121" t="s">
        <v>43</v>
      </c>
      <c r="E374" s="121" t="s">
        <v>44</v>
      </c>
      <c r="F374" s="121" t="s">
        <v>884</v>
      </c>
      <c r="G374" s="121" t="s">
        <v>97</v>
      </c>
      <c r="H374" s="378" t="s">
        <v>1358</v>
      </c>
      <c r="I374" s="378" t="s">
        <v>46</v>
      </c>
      <c r="J374" s="379">
        <v>1673528619.1781375</v>
      </c>
      <c r="K374" s="200"/>
      <c r="L374" s="378"/>
      <c r="M374" s="380">
        <v>0.170959</v>
      </c>
      <c r="N374" s="380">
        <v>4.6698000000000003E-2</v>
      </c>
      <c r="O374" s="381" t="s">
        <v>711</v>
      </c>
      <c r="P374" s="381">
        <v>0.2</v>
      </c>
      <c r="Q374" s="381" t="s">
        <v>108</v>
      </c>
      <c r="R374" s="382" t="s">
        <v>708</v>
      </c>
      <c r="S374" s="383"/>
      <c r="T374" s="384"/>
      <c r="U374" s="200">
        <f t="shared" si="11"/>
        <v>65737021.539785996</v>
      </c>
      <c r="V374" s="379">
        <v>17201357.262762181</v>
      </c>
      <c r="W374" s="379">
        <v>44490544.676526479</v>
      </c>
      <c r="X374" s="200"/>
      <c r="Y374" s="379">
        <v>468158.29838188778</v>
      </c>
      <c r="Z374" s="200">
        <v>113827.86923671397</v>
      </c>
      <c r="AA374" s="200">
        <v>418161.76291029813</v>
      </c>
      <c r="AB374" s="200"/>
      <c r="AC374" s="200"/>
      <c r="AD374" s="200">
        <v>2978523.6404651385</v>
      </c>
      <c r="AE374" s="200"/>
      <c r="AF374" s="200">
        <v>65708.050447653935</v>
      </c>
      <c r="AG374" s="200"/>
      <c r="AH374" s="200">
        <v>739.97905564606356</v>
      </c>
      <c r="AI374" s="165"/>
      <c r="AJ374" s="166">
        <v>1.09E-2</v>
      </c>
      <c r="AK374" s="200"/>
      <c r="AL374" s="377"/>
      <c r="AM374" s="377"/>
    </row>
    <row r="375" spans="1:39">
      <c r="A375" s="377" t="s">
        <v>720</v>
      </c>
      <c r="B375" s="378" t="s">
        <v>721</v>
      </c>
      <c r="C375" s="378" t="s">
        <v>706</v>
      </c>
      <c r="D375" s="121" t="s">
        <v>43</v>
      </c>
      <c r="E375" s="121" t="s">
        <v>44</v>
      </c>
      <c r="F375" s="121" t="s">
        <v>1348</v>
      </c>
      <c r="G375" s="121" t="s">
        <v>58</v>
      </c>
      <c r="H375" s="378" t="s">
        <v>1352</v>
      </c>
      <c r="I375" s="378" t="s">
        <v>46</v>
      </c>
      <c r="J375" s="379">
        <v>342020910.86639678</v>
      </c>
      <c r="K375" s="200"/>
      <c r="L375" s="378"/>
      <c r="M375" s="380">
        <v>3.0173999999999999E-2</v>
      </c>
      <c r="N375" s="380">
        <v>-2.2679999999999999E-2</v>
      </c>
      <c r="O375" s="381" t="s">
        <v>717</v>
      </c>
      <c r="P375" s="381">
        <v>0.2</v>
      </c>
      <c r="Q375" s="381" t="s">
        <v>108</v>
      </c>
      <c r="R375" s="382" t="s">
        <v>722</v>
      </c>
      <c r="S375" s="383"/>
      <c r="T375" s="384"/>
      <c r="U375" s="200">
        <f t="shared" si="11"/>
        <v>10347928.86849205</v>
      </c>
      <c r="V375" s="379">
        <v>5203353.6649820572</v>
      </c>
      <c r="W375" s="379">
        <v>3806551.351383585</v>
      </c>
      <c r="X375" s="200"/>
      <c r="Y375" s="379">
        <v>375387.44250390999</v>
      </c>
      <c r="Z375" s="200">
        <v>55479.813969146322</v>
      </c>
      <c r="AA375" s="200">
        <v>85662.824714579285</v>
      </c>
      <c r="AB375" s="200"/>
      <c r="AC375" s="200"/>
      <c r="AD375" s="200">
        <v>770421.74903702503</v>
      </c>
      <c r="AE375" s="200"/>
      <c r="AF375" s="200">
        <v>51072.021901747685</v>
      </c>
      <c r="AG375" s="200"/>
      <c r="AH375" s="200">
        <v>0</v>
      </c>
      <c r="AI375" s="165"/>
      <c r="AJ375" s="166">
        <v>1.67E-2</v>
      </c>
      <c r="AK375" s="200"/>
      <c r="AL375" s="377"/>
      <c r="AM375" s="377"/>
    </row>
    <row r="376" spans="1:39">
      <c r="A376" s="377" t="s">
        <v>723</v>
      </c>
      <c r="B376" s="378" t="s">
        <v>724</v>
      </c>
      <c r="C376" s="378" t="s">
        <v>706</v>
      </c>
      <c r="D376" s="121" t="s">
        <v>43</v>
      </c>
      <c r="E376" s="121" t="s">
        <v>44</v>
      </c>
      <c r="F376" s="121" t="s">
        <v>1348</v>
      </c>
      <c r="G376" s="121" t="s">
        <v>58</v>
      </c>
      <c r="H376" s="378" t="s">
        <v>1352</v>
      </c>
      <c r="I376" s="378" t="s">
        <v>69</v>
      </c>
      <c r="J376" s="379">
        <v>149601.6789068825</v>
      </c>
      <c r="K376" s="200"/>
      <c r="L376" s="378"/>
      <c r="M376" s="380">
        <v>1.0675E-2</v>
      </c>
      <c r="N376" s="380">
        <v>-4.1179E-2</v>
      </c>
      <c r="O376" s="381" t="s">
        <v>717</v>
      </c>
      <c r="P376" s="381">
        <v>0.2</v>
      </c>
      <c r="Q376" s="381" t="s">
        <v>108</v>
      </c>
      <c r="R376" s="382" t="s">
        <v>722</v>
      </c>
      <c r="S376" s="383"/>
      <c r="T376" s="384"/>
      <c r="U376" s="200">
        <f t="shared" si="11"/>
        <v>4513.4072439140482</v>
      </c>
      <c r="V376" s="379">
        <v>2263.0849052255612</v>
      </c>
      <c r="W376" s="379">
        <v>1665.0485609655427</v>
      </c>
      <c r="X376" s="200"/>
      <c r="Y376" s="379">
        <v>164.20068015593301</v>
      </c>
      <c r="Z376" s="200">
        <v>24.267788842093658</v>
      </c>
      <c r="AA376" s="200">
        <v>37.470337282435551</v>
      </c>
      <c r="AB376" s="200"/>
      <c r="AC376" s="200"/>
      <c r="AD376" s="200">
        <v>336.99522380130077</v>
      </c>
      <c r="AE376" s="200"/>
      <c r="AF376" s="200">
        <v>22.339747641180963</v>
      </c>
      <c r="AG376" s="200"/>
      <c r="AH376" s="200">
        <v>0</v>
      </c>
      <c r="AI376" s="165"/>
      <c r="AJ376" s="166">
        <v>1.67E-2</v>
      </c>
      <c r="AK376" s="200"/>
      <c r="AL376" s="377"/>
      <c r="AM376" s="377"/>
    </row>
    <row r="377" spans="1:39">
      <c r="A377" s="377" t="s">
        <v>725</v>
      </c>
      <c r="B377" s="378" t="s">
        <v>726</v>
      </c>
      <c r="C377" s="378" t="s">
        <v>706</v>
      </c>
      <c r="D377" s="121" t="s">
        <v>43</v>
      </c>
      <c r="E377" s="121" t="s">
        <v>44</v>
      </c>
      <c r="F377" s="121" t="s">
        <v>884</v>
      </c>
      <c r="G377" s="121" t="s">
        <v>622</v>
      </c>
      <c r="H377" s="378" t="s">
        <v>1358</v>
      </c>
      <c r="I377" s="378" t="s">
        <v>46</v>
      </c>
      <c r="J377" s="379">
        <v>2080016910.2429149</v>
      </c>
      <c r="K377" s="200"/>
      <c r="L377" s="378"/>
      <c r="M377" s="380">
        <v>5.9429999999999997E-2</v>
      </c>
      <c r="N377" s="380"/>
      <c r="O377" s="381" t="s">
        <v>727</v>
      </c>
      <c r="P377" s="381"/>
      <c r="Q377" s="381"/>
      <c r="R377" s="382" t="s">
        <v>708</v>
      </c>
      <c r="S377" s="383" t="s">
        <v>728</v>
      </c>
      <c r="T377" s="384"/>
      <c r="U377" s="200">
        <f t="shared" si="11"/>
        <v>43035297.039999999</v>
      </c>
      <c r="V377" s="379">
        <v>41606570</v>
      </c>
      <c r="W377" s="379">
        <v>0</v>
      </c>
      <c r="X377" s="200"/>
      <c r="Y377" s="379">
        <v>481584</v>
      </c>
      <c r="Z377" s="200">
        <v>287430</v>
      </c>
      <c r="AA377" s="200">
        <v>520000</v>
      </c>
      <c r="AB377" s="200"/>
      <c r="AC377" s="200"/>
      <c r="AD377" s="200">
        <v>0</v>
      </c>
      <c r="AE377" s="200"/>
      <c r="AF377" s="200">
        <v>139713.04</v>
      </c>
      <c r="AG377" s="200"/>
      <c r="AH377" s="200">
        <v>0</v>
      </c>
      <c r="AI377" s="165"/>
      <c r="AJ377" s="166">
        <v>2.06E-2</v>
      </c>
      <c r="AK377" s="200"/>
      <c r="AL377" s="377"/>
      <c r="AM377" s="385"/>
    </row>
    <row r="378" spans="1:39">
      <c r="A378" s="377" t="s">
        <v>729</v>
      </c>
      <c r="B378" s="378" t="s">
        <v>730</v>
      </c>
      <c r="C378" s="378" t="s">
        <v>706</v>
      </c>
      <c r="D378" s="121" t="s">
        <v>43</v>
      </c>
      <c r="E378" s="121" t="s">
        <v>44</v>
      </c>
      <c r="F378" s="121" t="s">
        <v>884</v>
      </c>
      <c r="G378" s="121" t="s">
        <v>622</v>
      </c>
      <c r="H378" s="378" t="s">
        <v>1358</v>
      </c>
      <c r="I378" s="378" t="s">
        <v>46</v>
      </c>
      <c r="J378" s="379">
        <v>2661199336.2105265</v>
      </c>
      <c r="K378" s="200"/>
      <c r="L378" s="378"/>
      <c r="M378" s="380">
        <v>4.99E-2</v>
      </c>
      <c r="N378" s="380"/>
      <c r="O378" s="381" t="s">
        <v>727</v>
      </c>
      <c r="P378" s="381"/>
      <c r="Q378" s="381"/>
      <c r="R378" s="382" t="s">
        <v>708</v>
      </c>
      <c r="S378" s="383" t="s">
        <v>728</v>
      </c>
      <c r="T378" s="384"/>
      <c r="U378" s="200">
        <f t="shared" si="11"/>
        <v>54757810</v>
      </c>
      <c r="V378" s="379">
        <v>53083627</v>
      </c>
      <c r="W378" s="379">
        <v>0</v>
      </c>
      <c r="X378" s="200"/>
      <c r="Y378" s="379">
        <v>615415</v>
      </c>
      <c r="Z378" s="200">
        <v>320917</v>
      </c>
      <c r="AA378" s="200">
        <v>665000</v>
      </c>
      <c r="AB378" s="200"/>
      <c r="AC378" s="200"/>
      <c r="AD378" s="200">
        <v>0</v>
      </c>
      <c r="AE378" s="200"/>
      <c r="AF378" s="200">
        <v>72851</v>
      </c>
      <c r="AG378" s="200"/>
      <c r="AH378" s="200">
        <v>0</v>
      </c>
      <c r="AI378" s="165"/>
      <c r="AJ378" s="166">
        <v>2.0500000000000001E-2</v>
      </c>
      <c r="AK378" s="200"/>
      <c r="AL378" s="377"/>
      <c r="AM378" s="385"/>
    </row>
    <row r="379" spans="1:39">
      <c r="A379" s="108" t="s">
        <v>731</v>
      </c>
      <c r="B379" s="386" t="s">
        <v>732</v>
      </c>
      <c r="C379" s="386" t="s">
        <v>706</v>
      </c>
      <c r="D379" s="102" t="s">
        <v>43</v>
      </c>
      <c r="E379" s="97" t="s">
        <v>621</v>
      </c>
      <c r="F379" s="102" t="s">
        <v>884</v>
      </c>
      <c r="G379" s="102" t="s">
        <v>622</v>
      </c>
      <c r="H379" s="207" t="s">
        <v>1358</v>
      </c>
      <c r="I379" s="57" t="s">
        <v>46</v>
      </c>
      <c r="J379" s="379">
        <v>3608657914.4048581</v>
      </c>
      <c r="K379" s="58"/>
      <c r="L379" s="57"/>
      <c r="M379" s="387">
        <v>0.127082</v>
      </c>
      <c r="N379" s="57"/>
      <c r="O379" s="381" t="s">
        <v>727</v>
      </c>
      <c r="P379" s="381"/>
      <c r="Q379" s="381"/>
      <c r="R379" s="382" t="s">
        <v>708</v>
      </c>
      <c r="S379" s="383" t="s">
        <v>728</v>
      </c>
      <c r="T379" s="382"/>
      <c r="U379" s="200">
        <f>SUM(V379:AH379)</f>
        <v>0</v>
      </c>
      <c r="V379" s="200"/>
      <c r="W379" s="200"/>
      <c r="X379" s="379"/>
      <c r="Y379" s="379"/>
      <c r="Z379" s="200"/>
      <c r="AA379" s="200"/>
      <c r="AB379" s="200"/>
      <c r="AC379" s="200"/>
      <c r="AD379" s="200"/>
      <c r="AE379" s="200"/>
      <c r="AF379" s="200"/>
      <c r="AG379" s="200"/>
      <c r="AH379" s="200"/>
      <c r="AI379" s="165"/>
      <c r="AJ379" s="167"/>
      <c r="AK379" s="200"/>
      <c r="AL379" s="385" t="s">
        <v>702</v>
      </c>
      <c r="AM379" s="59">
        <v>41621</v>
      </c>
    </row>
    <row r="380" spans="1:39">
      <c r="A380" s="388" t="s">
        <v>733</v>
      </c>
      <c r="B380" s="378" t="s">
        <v>732</v>
      </c>
      <c r="C380" s="378" t="s">
        <v>706</v>
      </c>
      <c r="D380" s="121" t="s">
        <v>43</v>
      </c>
      <c r="E380" s="121" t="s">
        <v>44</v>
      </c>
      <c r="F380" s="121" t="s">
        <v>1348</v>
      </c>
      <c r="G380" s="121" t="s">
        <v>641</v>
      </c>
      <c r="H380" s="121" t="s">
        <v>45</v>
      </c>
      <c r="I380" s="378" t="s">
        <v>46</v>
      </c>
      <c r="J380" s="379">
        <v>3608657914.4048581</v>
      </c>
      <c r="K380" s="200"/>
      <c r="L380" s="378"/>
      <c r="M380" s="380">
        <v>0.127082</v>
      </c>
      <c r="N380" s="380"/>
      <c r="O380" s="381" t="s">
        <v>734</v>
      </c>
      <c r="P380" s="381"/>
      <c r="Q380" s="381"/>
      <c r="R380" s="382" t="s">
        <v>708</v>
      </c>
      <c r="S380" s="383" t="s">
        <v>728</v>
      </c>
      <c r="T380" s="384"/>
      <c r="U380" s="200">
        <f t="shared" si="11"/>
        <v>67199415</v>
      </c>
      <c r="V380" s="379">
        <v>65067967</v>
      </c>
      <c r="W380" s="379">
        <v>0</v>
      </c>
      <c r="X380" s="200"/>
      <c r="Y380" s="379">
        <v>833980</v>
      </c>
      <c r="Z380" s="200">
        <v>320917</v>
      </c>
      <c r="AA380" s="200">
        <v>902000</v>
      </c>
      <c r="AB380" s="200"/>
      <c r="AC380" s="200"/>
      <c r="AD380" s="200">
        <v>0</v>
      </c>
      <c r="AE380" s="200"/>
      <c r="AF380" s="200">
        <v>74551</v>
      </c>
      <c r="AG380" s="200"/>
      <c r="AH380" s="200">
        <v>0</v>
      </c>
      <c r="AI380" s="165"/>
      <c r="AJ380" s="166">
        <v>1.8599999999999998E-2</v>
      </c>
      <c r="AK380" s="200"/>
      <c r="AL380" s="385" t="s">
        <v>703</v>
      </c>
      <c r="AM380" s="59">
        <v>41621</v>
      </c>
    </row>
    <row r="381" spans="1:39">
      <c r="A381" s="108" t="s">
        <v>735</v>
      </c>
      <c r="B381" s="386" t="s">
        <v>736</v>
      </c>
      <c r="C381" s="386" t="s">
        <v>706</v>
      </c>
      <c r="D381" s="102" t="s">
        <v>43</v>
      </c>
      <c r="E381" s="97" t="s">
        <v>621</v>
      </c>
      <c r="F381" s="102" t="s">
        <v>884</v>
      </c>
      <c r="G381" s="102" t="s">
        <v>622</v>
      </c>
      <c r="H381" s="207" t="s">
        <v>1358</v>
      </c>
      <c r="I381" s="57" t="s">
        <v>46</v>
      </c>
      <c r="J381" s="379">
        <v>1607939048.3603239</v>
      </c>
      <c r="K381" s="58"/>
      <c r="L381" s="57"/>
      <c r="M381" s="387">
        <v>3.7225000000000001E-2</v>
      </c>
      <c r="N381" s="57"/>
      <c r="O381" s="381" t="s">
        <v>727</v>
      </c>
      <c r="P381" s="381"/>
      <c r="Q381" s="381"/>
      <c r="R381" s="382" t="s">
        <v>708</v>
      </c>
      <c r="S381" s="383" t="s">
        <v>728</v>
      </c>
      <c r="T381" s="382"/>
      <c r="U381" s="200">
        <f>SUM(V381:AH381)</f>
        <v>0</v>
      </c>
      <c r="V381" s="200"/>
      <c r="W381" s="200"/>
      <c r="X381" s="379"/>
      <c r="Y381" s="379"/>
      <c r="Z381" s="200"/>
      <c r="AA381" s="200"/>
      <c r="AB381" s="200"/>
      <c r="AC381" s="200"/>
      <c r="AD381" s="200"/>
      <c r="AE381" s="200"/>
      <c r="AF381" s="200"/>
      <c r="AG381" s="200"/>
      <c r="AH381" s="200"/>
      <c r="AI381" s="165"/>
      <c r="AJ381" s="167"/>
      <c r="AK381" s="200"/>
      <c r="AL381" s="385" t="s">
        <v>702</v>
      </c>
      <c r="AM381" s="59">
        <v>41610</v>
      </c>
    </row>
    <row r="382" spans="1:39">
      <c r="A382" s="388" t="s">
        <v>737</v>
      </c>
      <c r="B382" s="378" t="s">
        <v>736</v>
      </c>
      <c r="C382" s="378" t="s">
        <v>706</v>
      </c>
      <c r="D382" s="121" t="s">
        <v>43</v>
      </c>
      <c r="E382" s="121" t="s">
        <v>44</v>
      </c>
      <c r="F382" s="121" t="s">
        <v>1348</v>
      </c>
      <c r="G382" s="121" t="s">
        <v>641</v>
      </c>
      <c r="H382" s="121" t="s">
        <v>45</v>
      </c>
      <c r="I382" s="378" t="s">
        <v>46</v>
      </c>
      <c r="J382" s="379">
        <v>1607939048.3603239</v>
      </c>
      <c r="K382" s="200"/>
      <c r="L382" s="378"/>
      <c r="M382" s="380">
        <v>3.7225000000000001E-2</v>
      </c>
      <c r="N382" s="380"/>
      <c r="O382" s="381" t="s">
        <v>734</v>
      </c>
      <c r="P382" s="381"/>
      <c r="Q382" s="381"/>
      <c r="R382" s="382" t="s">
        <v>708</v>
      </c>
      <c r="S382" s="383" t="s">
        <v>728</v>
      </c>
      <c r="T382" s="384"/>
      <c r="U382" s="200">
        <f t="shared" si="11"/>
        <v>32803741</v>
      </c>
      <c r="V382" s="379">
        <v>31738938</v>
      </c>
      <c r="W382" s="379">
        <v>0</v>
      </c>
      <c r="X382" s="200"/>
      <c r="Y382" s="379">
        <v>365506</v>
      </c>
      <c r="Z382" s="200">
        <v>224679</v>
      </c>
      <c r="AA382" s="200">
        <v>401000</v>
      </c>
      <c r="AB382" s="200"/>
      <c r="AC382" s="200"/>
      <c r="AD382" s="200">
        <v>0</v>
      </c>
      <c r="AE382" s="200"/>
      <c r="AF382" s="200">
        <v>73618</v>
      </c>
      <c r="AG382" s="200"/>
      <c r="AH382" s="200">
        <v>0</v>
      </c>
      <c r="AI382" s="165"/>
      <c r="AJ382" s="166">
        <v>2.0400000000000001E-2</v>
      </c>
      <c r="AK382" s="200"/>
      <c r="AL382" s="385" t="s">
        <v>703</v>
      </c>
      <c r="AM382" s="59">
        <v>41610</v>
      </c>
    </row>
    <row r="383" spans="1:39">
      <c r="A383" s="377" t="s">
        <v>738</v>
      </c>
      <c r="B383" s="378" t="s">
        <v>739</v>
      </c>
      <c r="C383" s="378" t="s">
        <v>706</v>
      </c>
      <c r="D383" s="121" t="s">
        <v>43</v>
      </c>
      <c r="E383" s="121" t="s">
        <v>44</v>
      </c>
      <c r="F383" s="121" t="s">
        <v>884</v>
      </c>
      <c r="G383" s="121" t="s">
        <v>622</v>
      </c>
      <c r="H383" s="378" t="s">
        <v>1358</v>
      </c>
      <c r="I383" s="378" t="s">
        <v>46</v>
      </c>
      <c r="J383" s="379">
        <v>1795468359.2024291</v>
      </c>
      <c r="K383" s="200"/>
      <c r="L383" s="378"/>
      <c r="M383" s="380">
        <v>4.5301000000000001E-2</v>
      </c>
      <c r="N383" s="380"/>
      <c r="O383" s="381" t="s">
        <v>717</v>
      </c>
      <c r="P383" s="381"/>
      <c r="Q383" s="381"/>
      <c r="R383" s="382" t="s">
        <v>708</v>
      </c>
      <c r="S383" s="383" t="s">
        <v>728</v>
      </c>
      <c r="T383" s="384"/>
      <c r="U383" s="200">
        <f t="shared" si="11"/>
        <v>36998784</v>
      </c>
      <c r="V383" s="379">
        <v>35816868</v>
      </c>
      <c r="W383" s="379">
        <v>0</v>
      </c>
      <c r="X383" s="200"/>
      <c r="Y383" s="379">
        <v>413646</v>
      </c>
      <c r="Z383" s="200">
        <v>247420</v>
      </c>
      <c r="AA383" s="200">
        <v>448000</v>
      </c>
      <c r="AB383" s="200"/>
      <c r="AC383" s="200"/>
      <c r="AD383" s="200">
        <v>0</v>
      </c>
      <c r="AE383" s="200"/>
      <c r="AF383" s="200">
        <v>72850</v>
      </c>
      <c r="AG383" s="200"/>
      <c r="AH383" s="200">
        <v>0</v>
      </c>
      <c r="AI383" s="165"/>
      <c r="AJ383" s="166">
        <v>2.06E-2</v>
      </c>
      <c r="AK383" s="200"/>
      <c r="AL383" s="377"/>
      <c r="AM383" s="385"/>
    </row>
    <row r="384" spans="1:39">
      <c r="A384" s="377" t="s">
        <v>740</v>
      </c>
      <c r="B384" s="378" t="s">
        <v>741</v>
      </c>
      <c r="C384" s="378" t="s">
        <v>706</v>
      </c>
      <c r="D384" s="121" t="s">
        <v>43</v>
      </c>
      <c r="E384" s="121" t="s">
        <v>44</v>
      </c>
      <c r="F384" s="121" t="s">
        <v>884</v>
      </c>
      <c r="G384" s="121" t="s">
        <v>622</v>
      </c>
      <c r="H384" s="378" t="s">
        <v>1358</v>
      </c>
      <c r="I384" s="378" t="s">
        <v>46</v>
      </c>
      <c r="J384" s="379">
        <v>2289676061.1659918</v>
      </c>
      <c r="K384" s="200"/>
      <c r="L384" s="378"/>
      <c r="M384" s="380">
        <v>4.2104000000000003E-2</v>
      </c>
      <c r="N384" s="380"/>
      <c r="O384" s="381" t="s">
        <v>717</v>
      </c>
      <c r="P384" s="381"/>
      <c r="Q384" s="381"/>
      <c r="R384" s="382" t="s">
        <v>708</v>
      </c>
      <c r="S384" s="383" t="s">
        <v>728</v>
      </c>
      <c r="T384" s="384"/>
      <c r="U384" s="200">
        <f>SUM(V384:AH384)</f>
        <v>47234234.82</v>
      </c>
      <c r="V384" s="379">
        <v>45676538</v>
      </c>
      <c r="W384" s="379">
        <v>0</v>
      </c>
      <c r="X384" s="200"/>
      <c r="Y384" s="379">
        <v>528046</v>
      </c>
      <c r="Z384" s="200">
        <v>315963</v>
      </c>
      <c r="AA384" s="200">
        <v>573000</v>
      </c>
      <c r="AB384" s="200"/>
      <c r="AC384" s="200"/>
      <c r="AD384" s="200">
        <v>0</v>
      </c>
      <c r="AE384" s="200"/>
      <c r="AF384" s="200">
        <v>140687.82</v>
      </c>
      <c r="AG384" s="200"/>
      <c r="AH384" s="200">
        <v>0</v>
      </c>
      <c r="AI384" s="165"/>
      <c r="AJ384" s="166">
        <v>2.06E-2</v>
      </c>
      <c r="AK384" s="200"/>
      <c r="AL384" s="377"/>
      <c r="AM384" s="385"/>
    </row>
    <row r="385" spans="1:39">
      <c r="A385" s="377" t="s">
        <v>742</v>
      </c>
      <c r="B385" s="378" t="s">
        <v>743</v>
      </c>
      <c r="C385" s="378" t="s">
        <v>706</v>
      </c>
      <c r="D385" s="121" t="s">
        <v>43</v>
      </c>
      <c r="E385" s="121" t="s">
        <v>44</v>
      </c>
      <c r="F385" s="121" t="s">
        <v>55</v>
      </c>
      <c r="G385" s="121" t="s">
        <v>56</v>
      </c>
      <c r="H385" s="378" t="s">
        <v>1353</v>
      </c>
      <c r="I385" s="378" t="s">
        <v>46</v>
      </c>
      <c r="J385" s="379">
        <v>1160566442.810688</v>
      </c>
      <c r="K385" s="200"/>
      <c r="L385" s="378"/>
      <c r="M385" s="380">
        <v>-4.3915000000000003E-2</v>
      </c>
      <c r="N385" s="380">
        <v>-5.0270000000000002E-3</v>
      </c>
      <c r="O385" s="381" t="s">
        <v>717</v>
      </c>
      <c r="P385" s="381"/>
      <c r="Q385" s="381"/>
      <c r="R385" s="382" t="s">
        <v>708</v>
      </c>
      <c r="S385" s="383"/>
      <c r="T385" s="384"/>
      <c r="U385" s="200">
        <f t="shared" si="11"/>
        <v>10273410.036101777</v>
      </c>
      <c r="V385" s="379">
        <v>9290125.6500348356</v>
      </c>
      <c r="W385" s="379">
        <v>0</v>
      </c>
      <c r="X385" s="200"/>
      <c r="Y385" s="379">
        <v>287397.58301297529</v>
      </c>
      <c r="Z385" s="200">
        <v>224508.84450516436</v>
      </c>
      <c r="AA385" s="200">
        <v>289388.94066089817</v>
      </c>
      <c r="AB385" s="200"/>
      <c r="AC385" s="200"/>
      <c r="AD385" s="200">
        <v>0</v>
      </c>
      <c r="AE385" s="200"/>
      <c r="AF385" s="200">
        <v>181989.01788790253</v>
      </c>
      <c r="AG385" s="200"/>
      <c r="AH385" s="200">
        <v>0</v>
      </c>
      <c r="AI385" s="165">
        <v>8.3987000000000003E-3</v>
      </c>
      <c r="AJ385" s="166">
        <v>1.7100000000000001E-2</v>
      </c>
      <c r="AK385" s="200"/>
      <c r="AL385" s="377"/>
      <c r="AM385" s="385"/>
    </row>
    <row r="386" spans="1:39">
      <c r="A386" s="377" t="s">
        <v>744</v>
      </c>
      <c r="B386" s="378" t="s">
        <v>745</v>
      </c>
      <c r="C386" s="378" t="s">
        <v>706</v>
      </c>
      <c r="D386" s="121" t="s">
        <v>43</v>
      </c>
      <c r="E386" s="121" t="s">
        <v>44</v>
      </c>
      <c r="F386" s="121" t="s">
        <v>55</v>
      </c>
      <c r="G386" s="121" t="s">
        <v>56</v>
      </c>
      <c r="H386" s="378" t="s">
        <v>1353</v>
      </c>
      <c r="I386" s="378" t="s">
        <v>69</v>
      </c>
      <c r="J386" s="379">
        <v>413653.44396761106</v>
      </c>
      <c r="K386" s="200"/>
      <c r="L386" s="378"/>
      <c r="M386" s="380">
        <v>-6.2010999999999997E-2</v>
      </c>
      <c r="N386" s="380">
        <v>-2.3859999999999999E-2</v>
      </c>
      <c r="O386" s="381" t="s">
        <v>717</v>
      </c>
      <c r="P386" s="381"/>
      <c r="Q386" s="381"/>
      <c r="R386" s="382" t="s">
        <v>708</v>
      </c>
      <c r="S386" s="383"/>
      <c r="T386" s="384"/>
      <c r="U386" s="200">
        <f t="shared" si="11"/>
        <v>3660.0433275047999</v>
      </c>
      <c r="V386" s="379">
        <v>3309.734769429419</v>
      </c>
      <c r="W386" s="379">
        <v>0</v>
      </c>
      <c r="X386" s="200"/>
      <c r="Y386" s="379">
        <v>102.38933346875193</v>
      </c>
      <c r="Z386" s="200">
        <v>79.984357229913172</v>
      </c>
      <c r="AA386" s="200">
        <v>103.0987819621288</v>
      </c>
      <c r="AB386" s="200"/>
      <c r="AC386" s="200"/>
      <c r="AD386" s="200">
        <v>0</v>
      </c>
      <c r="AE386" s="200"/>
      <c r="AF386" s="200">
        <v>64.836085414586933</v>
      </c>
      <c r="AG386" s="200"/>
      <c r="AH386" s="200">
        <v>0</v>
      </c>
      <c r="AI386" s="165">
        <v>8.3987000000000003E-3</v>
      </c>
      <c r="AJ386" s="166">
        <v>1.7100000000000001E-2</v>
      </c>
      <c r="AK386" s="200"/>
      <c r="AL386" s="377"/>
      <c r="AM386" s="385"/>
    </row>
    <row r="387" spans="1:39">
      <c r="A387" s="377" t="s">
        <v>746</v>
      </c>
      <c r="B387" s="378" t="s">
        <v>747</v>
      </c>
      <c r="C387" s="378" t="s">
        <v>706</v>
      </c>
      <c r="D387" s="121" t="s">
        <v>43</v>
      </c>
      <c r="E387" s="121" t="s">
        <v>44</v>
      </c>
      <c r="F387" s="121" t="s">
        <v>1348</v>
      </c>
      <c r="G387" s="246" t="s">
        <v>365</v>
      </c>
      <c r="H387" s="378" t="s">
        <v>1355</v>
      </c>
      <c r="I387" s="378" t="s">
        <v>239</v>
      </c>
      <c r="J387" s="379">
        <v>81752656.060483873</v>
      </c>
      <c r="K387" s="200"/>
      <c r="L387" s="378"/>
      <c r="M387" s="380">
        <v>1.6159E-2</v>
      </c>
      <c r="N387" s="380">
        <v>1.7030000000000001E-3</v>
      </c>
      <c r="O387" s="381" t="s">
        <v>711</v>
      </c>
      <c r="P387" s="381"/>
      <c r="Q387" s="381"/>
      <c r="R387" s="382" t="s">
        <v>708</v>
      </c>
      <c r="S387" s="383"/>
      <c r="T387" s="384"/>
      <c r="U387" s="200">
        <f t="shared" si="11"/>
        <v>458727.47169286408</v>
      </c>
      <c r="V387" s="379">
        <v>411503</v>
      </c>
      <c r="W387" s="379">
        <v>0</v>
      </c>
      <c r="X387" s="200"/>
      <c r="Y387" s="379">
        <v>23984</v>
      </c>
      <c r="Z387" s="200">
        <v>2585</v>
      </c>
      <c r="AA387" s="200">
        <v>20494</v>
      </c>
      <c r="AB387" s="200"/>
      <c r="AC387" s="200"/>
      <c r="AD387" s="200">
        <v>0</v>
      </c>
      <c r="AE387" s="200"/>
      <c r="AF387" s="200">
        <v>161.47169286409792</v>
      </c>
      <c r="AG387" s="200"/>
      <c r="AH387" s="200">
        <v>0</v>
      </c>
      <c r="AI387" s="165"/>
      <c r="AJ387" s="166">
        <v>5.5999999999999999E-3</v>
      </c>
      <c r="AK387" s="200"/>
      <c r="AL387" s="377"/>
      <c r="AM387" s="385"/>
    </row>
    <row r="388" spans="1:39">
      <c r="A388" s="108" t="s">
        <v>748</v>
      </c>
      <c r="B388" s="386" t="s">
        <v>749</v>
      </c>
      <c r="C388" s="386" t="s">
        <v>706</v>
      </c>
      <c r="D388" s="102" t="s">
        <v>553</v>
      </c>
      <c r="E388" s="389" t="s">
        <v>621</v>
      </c>
      <c r="F388" s="128" t="s">
        <v>884</v>
      </c>
      <c r="G388" s="102" t="s">
        <v>622</v>
      </c>
      <c r="H388" s="207" t="s">
        <v>1358</v>
      </c>
      <c r="I388" s="57" t="s">
        <v>46</v>
      </c>
      <c r="J388" s="379">
        <v>8719253778.6113358</v>
      </c>
      <c r="K388" s="58"/>
      <c r="L388" s="57"/>
      <c r="M388" s="387">
        <v>8.5651000000000005E-2</v>
      </c>
      <c r="N388" s="57"/>
      <c r="O388" s="381" t="s">
        <v>727</v>
      </c>
      <c r="P388" s="381"/>
      <c r="Q388" s="381"/>
      <c r="R388" s="382" t="s">
        <v>708</v>
      </c>
      <c r="S388" s="383" t="s">
        <v>728</v>
      </c>
      <c r="T388" s="382"/>
      <c r="U388" s="200">
        <f>SUM(V388:AH388)</f>
        <v>0</v>
      </c>
      <c r="V388" s="200"/>
      <c r="W388" s="200"/>
      <c r="X388" s="379"/>
      <c r="Y388" s="379"/>
      <c r="Z388" s="200"/>
      <c r="AA388" s="200"/>
      <c r="AB388" s="200"/>
      <c r="AC388" s="200"/>
      <c r="AD388" s="200"/>
      <c r="AE388" s="200"/>
      <c r="AF388" s="200"/>
      <c r="AG388" s="200"/>
      <c r="AH388" s="200"/>
      <c r="AI388" s="165"/>
      <c r="AJ388" s="167"/>
      <c r="AK388" s="200"/>
      <c r="AL388" s="385" t="s">
        <v>702</v>
      </c>
      <c r="AM388" s="59">
        <v>41619</v>
      </c>
    </row>
    <row r="389" spans="1:39">
      <c r="A389" s="388" t="s">
        <v>750</v>
      </c>
      <c r="B389" s="378" t="s">
        <v>749</v>
      </c>
      <c r="C389" s="378" t="s">
        <v>706</v>
      </c>
      <c r="D389" s="121" t="s">
        <v>43</v>
      </c>
      <c r="E389" s="121" t="s">
        <v>44</v>
      </c>
      <c r="F389" s="121" t="s">
        <v>1348</v>
      </c>
      <c r="G389" s="121" t="s">
        <v>641</v>
      </c>
      <c r="H389" s="121" t="s">
        <v>45</v>
      </c>
      <c r="I389" s="378" t="s">
        <v>46</v>
      </c>
      <c r="J389" s="379">
        <v>8719253778.6113358</v>
      </c>
      <c r="K389" s="200"/>
      <c r="L389" s="378"/>
      <c r="M389" s="380">
        <v>8.5651000000000005E-2</v>
      </c>
      <c r="N389" s="380"/>
      <c r="O389" s="381" t="s">
        <v>734</v>
      </c>
      <c r="P389" s="381"/>
      <c r="Q389" s="381"/>
      <c r="R389" s="382" t="s">
        <v>708</v>
      </c>
      <c r="S389" s="383" t="s">
        <v>728</v>
      </c>
      <c r="T389" s="384"/>
      <c r="U389" s="200">
        <f t="shared" si="11"/>
        <v>165492177</v>
      </c>
      <c r="V389" s="379">
        <v>160647285</v>
      </c>
      <c r="W389" s="379">
        <v>0</v>
      </c>
      <c r="X389" s="200"/>
      <c r="Y389" s="379">
        <v>2189334</v>
      </c>
      <c r="Z389" s="200">
        <v>401096</v>
      </c>
      <c r="AA389" s="200">
        <v>2179000</v>
      </c>
      <c r="AB389" s="200"/>
      <c r="AC389" s="200"/>
      <c r="AD389" s="200">
        <v>0</v>
      </c>
      <c r="AE389" s="200"/>
      <c r="AF389" s="200">
        <v>75462</v>
      </c>
      <c r="AG389" s="200"/>
      <c r="AH389" s="200">
        <v>0</v>
      </c>
      <c r="AI389" s="165"/>
      <c r="AJ389" s="166">
        <v>1.9E-2</v>
      </c>
      <c r="AK389" s="200"/>
      <c r="AL389" s="385" t="s">
        <v>703</v>
      </c>
      <c r="AM389" s="59">
        <v>41619</v>
      </c>
    </row>
    <row r="390" spans="1:39">
      <c r="A390" s="377" t="s">
        <v>751</v>
      </c>
      <c r="B390" s="378" t="s">
        <v>752</v>
      </c>
      <c r="C390" s="378" t="s">
        <v>706</v>
      </c>
      <c r="D390" s="121" t="s">
        <v>43</v>
      </c>
      <c r="E390" s="121" t="s">
        <v>44</v>
      </c>
      <c r="F390" s="121" t="s">
        <v>884</v>
      </c>
      <c r="G390" s="121" t="s">
        <v>622</v>
      </c>
      <c r="H390" s="378" t="s">
        <v>1358</v>
      </c>
      <c r="I390" s="378" t="s">
        <v>46</v>
      </c>
      <c r="J390" s="379">
        <v>2980756167.506073</v>
      </c>
      <c r="K390" s="200"/>
      <c r="L390" s="378"/>
      <c r="M390" s="380">
        <v>-1.2149999999999999E-3</v>
      </c>
      <c r="N390" s="380"/>
      <c r="O390" s="381" t="s">
        <v>717</v>
      </c>
      <c r="P390" s="381"/>
      <c r="Q390" s="381"/>
      <c r="R390" s="382" t="s">
        <v>708</v>
      </c>
      <c r="S390" s="383" t="s">
        <v>728</v>
      </c>
      <c r="T390" s="384"/>
      <c r="U390" s="200">
        <f t="shared" si="11"/>
        <v>46250708</v>
      </c>
      <c r="V390" s="379">
        <v>44421553</v>
      </c>
      <c r="W390" s="379">
        <v>0</v>
      </c>
      <c r="X390" s="200"/>
      <c r="Y390" s="379">
        <v>690013</v>
      </c>
      <c r="Z390" s="200">
        <v>320917</v>
      </c>
      <c r="AA390" s="200">
        <v>745000</v>
      </c>
      <c r="AB390" s="200"/>
      <c r="AC390" s="200"/>
      <c r="AD390" s="200">
        <v>0</v>
      </c>
      <c r="AE390" s="200"/>
      <c r="AF390" s="200">
        <v>73225</v>
      </c>
      <c r="AG390" s="200"/>
      <c r="AH390" s="200">
        <v>0</v>
      </c>
      <c r="AI390" s="165"/>
      <c r="AJ390" s="166">
        <v>1.55E-2</v>
      </c>
      <c r="AK390" s="200"/>
      <c r="AL390" s="377"/>
      <c r="AM390" s="385"/>
    </row>
    <row r="391" spans="1:39">
      <c r="A391" s="377" t="s">
        <v>753</v>
      </c>
      <c r="B391" s="378" t="s">
        <v>754</v>
      </c>
      <c r="C391" s="378" t="s">
        <v>706</v>
      </c>
      <c r="D391" s="121" t="s">
        <v>43</v>
      </c>
      <c r="E391" s="121" t="s">
        <v>44</v>
      </c>
      <c r="F391" s="121" t="s">
        <v>884</v>
      </c>
      <c r="G391" s="121" t="s">
        <v>622</v>
      </c>
      <c r="H391" s="378" t="s">
        <v>1358</v>
      </c>
      <c r="I391" s="378" t="s">
        <v>46</v>
      </c>
      <c r="J391" s="379">
        <v>2181725388.3846154</v>
      </c>
      <c r="K391" s="200"/>
      <c r="L391" s="378"/>
      <c r="M391" s="380">
        <v>-2.6289999999999998E-3</v>
      </c>
      <c r="N391" s="380"/>
      <c r="O391" s="381" t="s">
        <v>717</v>
      </c>
      <c r="P391" s="381"/>
      <c r="Q391" s="381"/>
      <c r="R391" s="382" t="s">
        <v>708</v>
      </c>
      <c r="S391" s="383" t="s">
        <v>728</v>
      </c>
      <c r="T391" s="384"/>
      <c r="U391" s="200">
        <f t="shared" si="11"/>
        <v>44392086</v>
      </c>
      <c r="V391" s="379">
        <v>42967700</v>
      </c>
      <c r="W391" s="379">
        <v>0</v>
      </c>
      <c r="X391" s="200"/>
      <c r="Y391" s="379">
        <v>501792</v>
      </c>
      <c r="Z391" s="200">
        <v>302537</v>
      </c>
      <c r="AA391" s="200">
        <v>546000</v>
      </c>
      <c r="AB391" s="200"/>
      <c r="AC391" s="200"/>
      <c r="AD391" s="200">
        <v>0</v>
      </c>
      <c r="AE391" s="200"/>
      <c r="AF391" s="200">
        <v>74057</v>
      </c>
      <c r="AG391" s="200"/>
      <c r="AH391" s="200">
        <v>0</v>
      </c>
      <c r="AI391" s="165"/>
      <c r="AJ391" s="166">
        <v>2.0299999999999999E-2</v>
      </c>
      <c r="AK391" s="200"/>
      <c r="AL391" s="377"/>
      <c r="AM391" s="385"/>
    </row>
    <row r="392" spans="1:39">
      <c r="A392" s="377" t="s">
        <v>755</v>
      </c>
      <c r="B392" s="378" t="s">
        <v>756</v>
      </c>
      <c r="C392" s="378" t="s">
        <v>706</v>
      </c>
      <c r="D392" s="121" t="s">
        <v>43</v>
      </c>
      <c r="E392" s="121" t="s">
        <v>44</v>
      </c>
      <c r="F392" s="121" t="s">
        <v>884</v>
      </c>
      <c r="G392" s="121" t="s">
        <v>97</v>
      </c>
      <c r="H392" s="378" t="s">
        <v>1357</v>
      </c>
      <c r="I392" s="378" t="s">
        <v>46</v>
      </c>
      <c r="J392" s="379">
        <v>10762545249</v>
      </c>
      <c r="K392" s="200"/>
      <c r="L392" s="378"/>
      <c r="M392" s="380">
        <v>-8.9046E-2</v>
      </c>
      <c r="N392" s="380">
        <v>4.6698000000000003E-2</v>
      </c>
      <c r="O392" s="381" t="s">
        <v>717</v>
      </c>
      <c r="P392" s="381">
        <v>0.2</v>
      </c>
      <c r="Q392" s="381" t="s">
        <v>108</v>
      </c>
      <c r="R392" s="382" t="s">
        <v>708</v>
      </c>
      <c r="S392" s="383"/>
      <c r="T392" s="384"/>
      <c r="U392" s="200">
        <f t="shared" si="11"/>
        <v>225064627.52000001</v>
      </c>
      <c r="V392" s="379">
        <v>216731824</v>
      </c>
      <c r="W392" s="379">
        <v>0</v>
      </c>
      <c r="X392" s="200"/>
      <c r="Y392" s="379">
        <v>3175372</v>
      </c>
      <c r="Z392" s="200">
        <v>510394</v>
      </c>
      <c r="AA392" s="200">
        <v>2688000</v>
      </c>
      <c r="AB392" s="200"/>
      <c r="AC392" s="200"/>
      <c r="AD392" s="200">
        <v>1531394</v>
      </c>
      <c r="AE392" s="200"/>
      <c r="AF392" s="200">
        <v>310951.52</v>
      </c>
      <c r="AG392" s="200"/>
      <c r="AH392" s="200">
        <v>116692</v>
      </c>
      <c r="AI392" s="165"/>
      <c r="AJ392" s="166">
        <v>2.07E-2</v>
      </c>
      <c r="AK392" s="200"/>
      <c r="AL392" s="377"/>
      <c r="AM392" s="385"/>
    </row>
    <row r="393" spans="1:39">
      <c r="A393" s="377" t="s">
        <v>757</v>
      </c>
      <c r="B393" s="378" t="s">
        <v>758</v>
      </c>
      <c r="C393" s="378" t="s">
        <v>706</v>
      </c>
      <c r="D393" s="121" t="s">
        <v>43</v>
      </c>
      <c r="E393" s="121" t="s">
        <v>44</v>
      </c>
      <c r="F393" s="121" t="s">
        <v>1348</v>
      </c>
      <c r="G393" s="121" t="s">
        <v>759</v>
      </c>
      <c r="H393" s="378" t="s">
        <v>1357</v>
      </c>
      <c r="I393" s="378" t="s">
        <v>46</v>
      </c>
      <c r="J393" s="379">
        <v>8889025452.2145748</v>
      </c>
      <c r="K393" s="200"/>
      <c r="L393" s="378"/>
      <c r="M393" s="380">
        <v>4.4325000000000003E-2</v>
      </c>
      <c r="N393" s="380">
        <v>6.9394999999999998E-2</v>
      </c>
      <c r="O393" s="381" t="s">
        <v>734</v>
      </c>
      <c r="P393" s="381">
        <v>0.2</v>
      </c>
      <c r="Q393" s="381" t="s">
        <v>108</v>
      </c>
      <c r="R393" s="382" t="s">
        <v>708</v>
      </c>
      <c r="S393" s="383"/>
      <c r="T393" s="384"/>
      <c r="U393" s="200">
        <f t="shared" si="11"/>
        <v>138917744.80000001</v>
      </c>
      <c r="V393" s="379">
        <v>133415146</v>
      </c>
      <c r="W393" s="379">
        <v>0</v>
      </c>
      <c r="X393" s="200"/>
      <c r="Y393" s="379">
        <v>2559048</v>
      </c>
      <c r="Z393" s="200">
        <v>510394</v>
      </c>
      <c r="AA393" s="200">
        <v>2220000</v>
      </c>
      <c r="AB393" s="200"/>
      <c r="AC393" s="200"/>
      <c r="AD393" s="200">
        <v>0</v>
      </c>
      <c r="AE393" s="200"/>
      <c r="AF393" s="200">
        <v>204057.8</v>
      </c>
      <c r="AG393" s="200"/>
      <c r="AH393" s="200">
        <v>9099</v>
      </c>
      <c r="AI393" s="165"/>
      <c r="AJ393" s="166">
        <v>1.5599999999999999E-2</v>
      </c>
      <c r="AK393" s="200"/>
      <c r="AL393" s="377"/>
      <c r="AM393" s="385"/>
    </row>
    <row r="394" spans="1:39">
      <c r="A394" s="377" t="s">
        <v>760</v>
      </c>
      <c r="B394" s="378" t="s">
        <v>761</v>
      </c>
      <c r="C394" s="378" t="s">
        <v>706</v>
      </c>
      <c r="D394" s="121" t="s">
        <v>43</v>
      </c>
      <c r="E394" s="121" t="s">
        <v>44</v>
      </c>
      <c r="F394" s="121" t="s">
        <v>1348</v>
      </c>
      <c r="G394" s="246" t="s">
        <v>365</v>
      </c>
      <c r="H394" s="378" t="s">
        <v>1187</v>
      </c>
      <c r="I394" s="378" t="s">
        <v>69</v>
      </c>
      <c r="J394" s="379">
        <v>222149075.59677419</v>
      </c>
      <c r="K394" s="200"/>
      <c r="L394" s="378"/>
      <c r="M394" s="380">
        <v>1.4478E-2</v>
      </c>
      <c r="N394" s="380">
        <v>6.5360000000000001E-3</v>
      </c>
      <c r="O394" s="381" t="s">
        <v>711</v>
      </c>
      <c r="P394" s="381"/>
      <c r="Q394" s="381"/>
      <c r="R394" s="382" t="s">
        <v>708</v>
      </c>
      <c r="S394" s="383"/>
      <c r="T394" s="384"/>
      <c r="U394" s="200">
        <f t="shared" si="11"/>
        <v>1228336.4348455761</v>
      </c>
      <c r="V394" s="379">
        <v>1111284</v>
      </c>
      <c r="W394" s="379">
        <v>0</v>
      </c>
      <c r="X394" s="200"/>
      <c r="Y394" s="379">
        <v>58914</v>
      </c>
      <c r="Z394" s="200">
        <v>2213</v>
      </c>
      <c r="AA394" s="200">
        <v>55596</v>
      </c>
      <c r="AB394" s="200"/>
      <c r="AC394" s="200"/>
      <c r="AD394" s="200">
        <v>0</v>
      </c>
      <c r="AE394" s="200"/>
      <c r="AF394" s="200">
        <v>329.43484557610049</v>
      </c>
      <c r="AG394" s="200"/>
      <c r="AH394" s="200">
        <v>0</v>
      </c>
      <c r="AI394" s="165"/>
      <c r="AJ394" s="166">
        <v>5.4999999999999997E-3</v>
      </c>
      <c r="AK394" s="200"/>
      <c r="AL394" s="377"/>
      <c r="AM394" s="385"/>
    </row>
    <row r="395" spans="1:39">
      <c r="A395" s="377" t="s">
        <v>762</v>
      </c>
      <c r="B395" s="378" t="s">
        <v>763</v>
      </c>
      <c r="C395" s="378" t="s">
        <v>706</v>
      </c>
      <c r="D395" s="121" t="s">
        <v>553</v>
      </c>
      <c r="E395" s="268" t="s">
        <v>621</v>
      </c>
      <c r="F395" s="121" t="s">
        <v>884</v>
      </c>
      <c r="G395" s="121" t="s">
        <v>622</v>
      </c>
      <c r="H395" s="378" t="s">
        <v>1358</v>
      </c>
      <c r="I395" s="378" t="s">
        <v>46</v>
      </c>
      <c r="J395" s="379">
        <v>2876693756.0607285</v>
      </c>
      <c r="K395" s="200"/>
      <c r="L395" s="378"/>
      <c r="M395" s="380">
        <v>4.6804999999999999E-2</v>
      </c>
      <c r="N395" s="380"/>
      <c r="O395" s="381" t="s">
        <v>717</v>
      </c>
      <c r="P395" s="381"/>
      <c r="Q395" s="381"/>
      <c r="R395" s="382">
        <v>0</v>
      </c>
      <c r="S395" s="383" t="s">
        <v>728</v>
      </c>
      <c r="T395" s="384"/>
      <c r="U395" s="200">
        <f t="shared" si="11"/>
        <v>43957841.049999997</v>
      </c>
      <c r="V395" s="379">
        <v>43110470</v>
      </c>
      <c r="W395" s="379">
        <v>0</v>
      </c>
      <c r="X395" s="200"/>
      <c r="Y395" s="379">
        <v>0</v>
      </c>
      <c r="Z395" s="200">
        <v>0</v>
      </c>
      <c r="AA395" s="200">
        <v>719000</v>
      </c>
      <c r="AB395" s="200"/>
      <c r="AC395" s="200"/>
      <c r="AD395" s="200">
        <v>0</v>
      </c>
      <c r="AE395" s="200"/>
      <c r="AF395" s="200">
        <v>128371.05</v>
      </c>
      <c r="AG395" s="200"/>
      <c r="AH395" s="200">
        <v>0</v>
      </c>
      <c r="AI395" s="165"/>
      <c r="AJ395" s="166">
        <v>1.52E-2</v>
      </c>
      <c r="AK395" s="200"/>
      <c r="AL395" s="377"/>
      <c r="AM395" s="385"/>
    </row>
    <row r="396" spans="1:39">
      <c r="A396" s="108" t="s">
        <v>764</v>
      </c>
      <c r="B396" s="386" t="s">
        <v>765</v>
      </c>
      <c r="C396" s="386" t="s">
        <v>706</v>
      </c>
      <c r="D396" s="102" t="s">
        <v>43</v>
      </c>
      <c r="E396" s="389" t="s">
        <v>621</v>
      </c>
      <c r="F396" s="128" t="s">
        <v>884</v>
      </c>
      <c r="G396" s="102" t="s">
        <v>622</v>
      </c>
      <c r="H396" s="57" t="s">
        <v>1356</v>
      </c>
      <c r="I396" s="57" t="s">
        <v>46</v>
      </c>
      <c r="J396" s="379">
        <v>5663743911.9838057</v>
      </c>
      <c r="K396" s="58"/>
      <c r="L396" s="57"/>
      <c r="M396" s="387">
        <v>8.863E-2</v>
      </c>
      <c r="N396" s="57"/>
      <c r="O396" s="381" t="s">
        <v>727</v>
      </c>
      <c r="P396" s="381"/>
      <c r="Q396" s="381"/>
      <c r="R396" s="382" t="s">
        <v>708</v>
      </c>
      <c r="S396" s="383" t="s">
        <v>728</v>
      </c>
      <c r="T396" s="382"/>
      <c r="U396" s="200">
        <f>SUM(V396:AH396)</f>
        <v>0</v>
      </c>
      <c r="V396" s="200"/>
      <c r="W396" s="200"/>
      <c r="X396" s="379"/>
      <c r="Y396" s="379"/>
      <c r="Z396" s="200"/>
      <c r="AA396" s="200"/>
      <c r="AB396" s="200"/>
      <c r="AC396" s="200"/>
      <c r="AD396" s="200"/>
      <c r="AE396" s="200"/>
      <c r="AF396" s="200"/>
      <c r="AG396" s="200"/>
      <c r="AH396" s="200"/>
      <c r="AI396" s="165"/>
      <c r="AJ396" s="167"/>
      <c r="AK396" s="200"/>
      <c r="AL396" s="385" t="s">
        <v>702</v>
      </c>
      <c r="AM396" s="59">
        <v>41621</v>
      </c>
    </row>
    <row r="397" spans="1:39">
      <c r="A397" s="388" t="s">
        <v>766</v>
      </c>
      <c r="B397" s="378" t="s">
        <v>765</v>
      </c>
      <c r="C397" s="378" t="s">
        <v>706</v>
      </c>
      <c r="D397" s="121" t="s">
        <v>43</v>
      </c>
      <c r="E397" s="121" t="s">
        <v>44</v>
      </c>
      <c r="F397" s="121" t="s">
        <v>1348</v>
      </c>
      <c r="G397" s="121" t="s">
        <v>641</v>
      </c>
      <c r="H397" s="121" t="s">
        <v>45</v>
      </c>
      <c r="I397" s="378" t="s">
        <v>46</v>
      </c>
      <c r="J397" s="379">
        <v>5663743911.9838057</v>
      </c>
      <c r="K397" s="200"/>
      <c r="L397" s="378"/>
      <c r="M397" s="380">
        <v>8.863E-2</v>
      </c>
      <c r="N397" s="380"/>
      <c r="O397" s="381" t="s">
        <v>734</v>
      </c>
      <c r="P397" s="381"/>
      <c r="Q397" s="381"/>
      <c r="R397" s="382" t="s">
        <v>708</v>
      </c>
      <c r="S397" s="383" t="s">
        <v>728</v>
      </c>
      <c r="T397" s="384"/>
      <c r="U397" s="200">
        <f t="shared" si="11"/>
        <v>128497700</v>
      </c>
      <c r="V397" s="379">
        <v>125248829</v>
      </c>
      <c r="W397" s="379">
        <v>0</v>
      </c>
      <c r="X397" s="200"/>
      <c r="Y397" s="379">
        <v>1308452</v>
      </c>
      <c r="Z397" s="200">
        <v>448933</v>
      </c>
      <c r="AA397" s="200">
        <v>1416000</v>
      </c>
      <c r="AB397" s="200"/>
      <c r="AC397" s="200"/>
      <c r="AD397" s="200">
        <v>0</v>
      </c>
      <c r="AE397" s="200"/>
      <c r="AF397" s="200">
        <v>75486</v>
      </c>
      <c r="AG397" s="200"/>
      <c r="AH397" s="200">
        <v>0</v>
      </c>
      <c r="AI397" s="165"/>
      <c r="AJ397" s="166">
        <v>2.2700000000000001E-2</v>
      </c>
      <c r="AK397" s="200"/>
      <c r="AL397" s="385" t="s">
        <v>703</v>
      </c>
      <c r="AM397" s="59">
        <v>41621</v>
      </c>
    </row>
    <row r="398" spans="1:39">
      <c r="A398" s="377" t="s">
        <v>767</v>
      </c>
      <c r="B398" s="378" t="s">
        <v>768</v>
      </c>
      <c r="C398" s="378" t="s">
        <v>706</v>
      </c>
      <c r="D398" s="121" t="s">
        <v>43</v>
      </c>
      <c r="E398" s="121" t="s">
        <v>44</v>
      </c>
      <c r="F398" s="121" t="s">
        <v>884</v>
      </c>
      <c r="G398" s="121" t="s">
        <v>622</v>
      </c>
      <c r="H398" s="378" t="s">
        <v>1358</v>
      </c>
      <c r="I398" s="378" t="s">
        <v>46</v>
      </c>
      <c r="J398" s="379">
        <v>2615852161.445344</v>
      </c>
      <c r="K398" s="200"/>
      <c r="L398" s="378"/>
      <c r="M398" s="380">
        <v>0.23939099999999999</v>
      </c>
      <c r="N398" s="380"/>
      <c r="O398" s="381" t="s">
        <v>717</v>
      </c>
      <c r="P398" s="381"/>
      <c r="Q398" s="381"/>
      <c r="R398" s="382" t="s">
        <v>708</v>
      </c>
      <c r="S398" s="383" t="s">
        <v>728</v>
      </c>
      <c r="T398" s="384"/>
      <c r="U398" s="200">
        <f t="shared" si="11"/>
        <v>53528023</v>
      </c>
      <c r="V398" s="379">
        <v>51820431</v>
      </c>
      <c r="W398" s="379">
        <v>0</v>
      </c>
      <c r="X398" s="200"/>
      <c r="Y398" s="379">
        <v>646532</v>
      </c>
      <c r="Z398" s="200">
        <v>320917</v>
      </c>
      <c r="AA398" s="200">
        <v>655000</v>
      </c>
      <c r="AB398" s="200"/>
      <c r="AC398" s="200"/>
      <c r="AD398" s="200">
        <v>0</v>
      </c>
      <c r="AE398" s="200"/>
      <c r="AF398" s="200">
        <v>85143</v>
      </c>
      <c r="AG398" s="200"/>
      <c r="AH398" s="200">
        <v>0</v>
      </c>
      <c r="AI398" s="165"/>
      <c r="AJ398" s="166">
        <v>2.0400000000000001E-2</v>
      </c>
      <c r="AK398" s="200"/>
      <c r="AL398" s="377"/>
      <c r="AM398" s="385"/>
    </row>
    <row r="399" spans="1:39">
      <c r="A399" s="377" t="s">
        <v>769</v>
      </c>
      <c r="B399" s="378" t="s">
        <v>770</v>
      </c>
      <c r="C399" s="378" t="s">
        <v>706</v>
      </c>
      <c r="D399" s="121" t="s">
        <v>43</v>
      </c>
      <c r="E399" s="121" t="s">
        <v>44</v>
      </c>
      <c r="F399" s="121" t="s">
        <v>884</v>
      </c>
      <c r="G399" s="121" t="s">
        <v>622</v>
      </c>
      <c r="H399" s="378" t="s">
        <v>1358</v>
      </c>
      <c r="I399" s="378" t="s">
        <v>46</v>
      </c>
      <c r="J399" s="379">
        <v>913834765.70850205</v>
      </c>
      <c r="K399" s="200"/>
      <c r="L399" s="378"/>
      <c r="M399" s="380">
        <v>0.21663499999999999</v>
      </c>
      <c r="N399" s="380"/>
      <c r="O399" s="381" t="s">
        <v>717</v>
      </c>
      <c r="P399" s="381"/>
      <c r="Q399" s="381"/>
      <c r="R399" s="382" t="s">
        <v>708</v>
      </c>
      <c r="S399" s="383" t="s">
        <v>728</v>
      </c>
      <c r="T399" s="384"/>
      <c r="U399" s="200">
        <f t="shared" si="11"/>
        <v>18794799</v>
      </c>
      <c r="V399" s="379">
        <v>18269639</v>
      </c>
      <c r="W399" s="379">
        <v>0</v>
      </c>
      <c r="X399" s="200"/>
      <c r="Y399" s="379">
        <v>219132</v>
      </c>
      <c r="Z399" s="200">
        <v>0</v>
      </c>
      <c r="AA399" s="200">
        <v>228000</v>
      </c>
      <c r="AB399" s="200"/>
      <c r="AC399" s="200"/>
      <c r="AD399" s="200">
        <v>0</v>
      </c>
      <c r="AE399" s="200"/>
      <c r="AF399" s="200">
        <v>78028</v>
      </c>
      <c r="AG399" s="200"/>
      <c r="AH399" s="200">
        <v>0</v>
      </c>
      <c r="AI399" s="165"/>
      <c r="AJ399" s="166">
        <v>2.0500000000000001E-2</v>
      </c>
      <c r="AK399" s="200"/>
      <c r="AL399" s="377"/>
      <c r="AM399" s="385"/>
    </row>
    <row r="400" spans="1:39">
      <c r="A400" s="108" t="s">
        <v>771</v>
      </c>
      <c r="B400" s="386" t="s">
        <v>772</v>
      </c>
      <c r="C400" s="386" t="s">
        <v>706</v>
      </c>
      <c r="D400" s="102" t="s">
        <v>43</v>
      </c>
      <c r="E400" s="389" t="s">
        <v>621</v>
      </c>
      <c r="F400" s="128" t="s">
        <v>884</v>
      </c>
      <c r="G400" s="102" t="s">
        <v>622</v>
      </c>
      <c r="H400" s="207" t="s">
        <v>1357</v>
      </c>
      <c r="I400" s="57" t="s">
        <v>46</v>
      </c>
      <c r="J400" s="379">
        <v>2082220021.3117409</v>
      </c>
      <c r="K400" s="58"/>
      <c r="L400" s="57"/>
      <c r="M400" s="387">
        <v>2.4275999999999999E-2</v>
      </c>
      <c r="N400" s="57"/>
      <c r="O400" s="381" t="s">
        <v>727</v>
      </c>
      <c r="P400" s="381"/>
      <c r="Q400" s="381"/>
      <c r="R400" s="382" t="s">
        <v>708</v>
      </c>
      <c r="S400" s="383" t="s">
        <v>728</v>
      </c>
      <c r="T400" s="382"/>
      <c r="U400" s="200">
        <f>SUM(V400:AH400)</f>
        <v>0</v>
      </c>
      <c r="V400" s="200"/>
      <c r="W400" s="200"/>
      <c r="X400" s="379"/>
      <c r="Y400" s="379"/>
      <c r="Z400" s="200"/>
      <c r="AA400" s="200"/>
      <c r="AB400" s="200"/>
      <c r="AC400" s="200"/>
      <c r="AD400" s="200"/>
      <c r="AE400" s="200"/>
      <c r="AF400" s="200"/>
      <c r="AG400" s="200"/>
      <c r="AH400" s="200"/>
      <c r="AI400" s="165"/>
      <c r="AJ400" s="167"/>
      <c r="AK400" s="200"/>
      <c r="AL400" s="385" t="s">
        <v>702</v>
      </c>
      <c r="AM400" s="59">
        <v>41610</v>
      </c>
    </row>
    <row r="401" spans="1:39">
      <c r="A401" s="388" t="s">
        <v>773</v>
      </c>
      <c r="B401" s="378" t="s">
        <v>772</v>
      </c>
      <c r="C401" s="378" t="s">
        <v>706</v>
      </c>
      <c r="D401" s="121" t="s">
        <v>43</v>
      </c>
      <c r="E401" s="121" t="s">
        <v>44</v>
      </c>
      <c r="F401" s="121" t="s">
        <v>1348</v>
      </c>
      <c r="G401" s="121" t="s">
        <v>641</v>
      </c>
      <c r="H401" s="121" t="s">
        <v>45</v>
      </c>
      <c r="I401" s="378" t="s">
        <v>46</v>
      </c>
      <c r="J401" s="379">
        <v>2082220021.3117409</v>
      </c>
      <c r="K401" s="200"/>
      <c r="L401" s="378"/>
      <c r="M401" s="380">
        <v>2.4275999999999999E-2</v>
      </c>
      <c r="N401" s="380"/>
      <c r="O401" s="381" t="s">
        <v>734</v>
      </c>
      <c r="P401" s="381"/>
      <c r="Q401" s="381"/>
      <c r="R401" s="382" t="s">
        <v>708</v>
      </c>
      <c r="S401" s="383" t="s">
        <v>728</v>
      </c>
      <c r="T401" s="384"/>
      <c r="U401" s="200">
        <f t="shared" si="11"/>
        <v>41946842</v>
      </c>
      <c r="V401" s="379">
        <v>40593489</v>
      </c>
      <c r="W401" s="379">
        <v>0</v>
      </c>
      <c r="X401" s="200"/>
      <c r="Y401" s="379">
        <v>469511</v>
      </c>
      <c r="Z401" s="200">
        <v>290023</v>
      </c>
      <c r="AA401" s="200">
        <v>520000</v>
      </c>
      <c r="AB401" s="200"/>
      <c r="AC401" s="200"/>
      <c r="AD401" s="200">
        <v>0</v>
      </c>
      <c r="AE401" s="200"/>
      <c r="AF401" s="200">
        <v>73819</v>
      </c>
      <c r="AG401" s="200"/>
      <c r="AH401" s="200">
        <v>0</v>
      </c>
      <c r="AI401" s="165"/>
      <c r="AJ401" s="166">
        <v>2.01E-2</v>
      </c>
      <c r="AK401" s="200"/>
      <c r="AL401" s="385" t="s">
        <v>703</v>
      </c>
      <c r="AM401" s="59">
        <v>41610</v>
      </c>
    </row>
    <row r="402" spans="1:39">
      <c r="A402" s="377" t="s">
        <v>774</v>
      </c>
      <c r="B402" s="378" t="s">
        <v>775</v>
      </c>
      <c r="C402" s="378" t="s">
        <v>706</v>
      </c>
      <c r="D402" s="121" t="s">
        <v>43</v>
      </c>
      <c r="E402" s="121" t="s">
        <v>44</v>
      </c>
      <c r="F402" s="121" t="s">
        <v>884</v>
      </c>
      <c r="G402" s="121" t="s">
        <v>622</v>
      </c>
      <c r="H402" s="378" t="s">
        <v>1357</v>
      </c>
      <c r="I402" s="378" t="s">
        <v>46</v>
      </c>
      <c r="J402" s="379">
        <v>1960086354.0647774</v>
      </c>
      <c r="K402" s="200"/>
      <c r="L402" s="378"/>
      <c r="M402" s="380">
        <v>2.7723000000000001E-2</v>
      </c>
      <c r="N402" s="380"/>
      <c r="O402" s="381" t="s">
        <v>717</v>
      </c>
      <c r="P402" s="381"/>
      <c r="Q402" s="381"/>
      <c r="R402" s="382" t="s">
        <v>708</v>
      </c>
      <c r="S402" s="383" t="s">
        <v>728</v>
      </c>
      <c r="T402" s="384"/>
      <c r="U402" s="200">
        <f t="shared" si="11"/>
        <v>40484453</v>
      </c>
      <c r="V402" s="379">
        <v>39202569</v>
      </c>
      <c r="W402" s="379">
        <v>0</v>
      </c>
      <c r="X402" s="200"/>
      <c r="Y402" s="379">
        <v>450912</v>
      </c>
      <c r="Z402" s="200">
        <v>266646</v>
      </c>
      <c r="AA402" s="200">
        <v>490000</v>
      </c>
      <c r="AB402" s="200"/>
      <c r="AC402" s="200"/>
      <c r="AD402" s="200">
        <v>0</v>
      </c>
      <c r="AE402" s="200"/>
      <c r="AF402" s="200">
        <v>74326</v>
      </c>
      <c r="AG402" s="200"/>
      <c r="AH402" s="200">
        <v>0</v>
      </c>
      <c r="AI402" s="165"/>
      <c r="AJ402" s="166">
        <v>2.06E-2</v>
      </c>
      <c r="AK402" s="200"/>
      <c r="AL402" s="377"/>
      <c r="AM402" s="385"/>
    </row>
    <row r="403" spans="1:39">
      <c r="A403" s="377" t="s">
        <v>776</v>
      </c>
      <c r="B403" s="378" t="s">
        <v>777</v>
      </c>
      <c r="C403" s="378" t="s">
        <v>706</v>
      </c>
      <c r="D403" s="121" t="s">
        <v>43</v>
      </c>
      <c r="E403" s="121" t="s">
        <v>44</v>
      </c>
      <c r="F403" s="121" t="s">
        <v>884</v>
      </c>
      <c r="G403" s="121" t="s">
        <v>622</v>
      </c>
      <c r="H403" s="378" t="s">
        <v>1357</v>
      </c>
      <c r="I403" s="378" t="s">
        <v>46</v>
      </c>
      <c r="J403" s="379">
        <v>2074088936.5870445</v>
      </c>
      <c r="K403" s="200"/>
      <c r="L403" s="378"/>
      <c r="M403" s="380">
        <v>3.8419000000000002E-2</v>
      </c>
      <c r="N403" s="380"/>
      <c r="O403" s="381" t="s">
        <v>717</v>
      </c>
      <c r="P403" s="381"/>
      <c r="Q403" s="381"/>
      <c r="R403" s="382" t="s">
        <v>708</v>
      </c>
      <c r="S403" s="383" t="s">
        <v>728</v>
      </c>
      <c r="T403" s="384"/>
      <c r="U403" s="200">
        <f t="shared" si="11"/>
        <v>42790599.039999999</v>
      </c>
      <c r="V403" s="379">
        <v>41368631</v>
      </c>
      <c r="W403" s="379">
        <v>0</v>
      </c>
      <c r="X403" s="200"/>
      <c r="Y403" s="379">
        <v>478710</v>
      </c>
      <c r="Z403" s="200">
        <v>284008</v>
      </c>
      <c r="AA403" s="200">
        <v>519000</v>
      </c>
      <c r="AB403" s="200"/>
      <c r="AC403" s="200"/>
      <c r="AD403" s="200">
        <v>0</v>
      </c>
      <c r="AE403" s="200"/>
      <c r="AF403" s="200">
        <v>140250.04</v>
      </c>
      <c r="AG403" s="200"/>
      <c r="AH403" s="200">
        <v>0</v>
      </c>
      <c r="AI403" s="165"/>
      <c r="AJ403" s="166">
        <v>2.06E-2</v>
      </c>
      <c r="AK403" s="200"/>
      <c r="AL403" s="377"/>
      <c r="AM403" s="385"/>
    </row>
    <row r="404" spans="1:39">
      <c r="A404" s="377" t="s">
        <v>778</v>
      </c>
      <c r="B404" s="378" t="s">
        <v>779</v>
      </c>
      <c r="C404" s="378" t="s">
        <v>706</v>
      </c>
      <c r="D404" s="121" t="s">
        <v>43</v>
      </c>
      <c r="E404" s="121" t="s">
        <v>44</v>
      </c>
      <c r="F404" s="121" t="s">
        <v>884</v>
      </c>
      <c r="G404" s="121" t="s">
        <v>622</v>
      </c>
      <c r="H404" s="378" t="s">
        <v>1357</v>
      </c>
      <c r="I404" s="378" t="s">
        <v>46</v>
      </c>
      <c r="J404" s="379">
        <v>2676454579.7570848</v>
      </c>
      <c r="K404" s="200"/>
      <c r="L404" s="378"/>
      <c r="M404" s="380">
        <v>3.1493E-2</v>
      </c>
      <c r="N404" s="380"/>
      <c r="O404" s="381" t="s">
        <v>717</v>
      </c>
      <c r="P404" s="381"/>
      <c r="Q404" s="381"/>
      <c r="R404" s="382" t="s">
        <v>708</v>
      </c>
      <c r="S404" s="383" t="s">
        <v>728</v>
      </c>
      <c r="T404" s="384"/>
      <c r="U404" s="200">
        <f t="shared" si="11"/>
        <v>55049343</v>
      </c>
      <c r="V404" s="379">
        <v>53370525</v>
      </c>
      <c r="W404" s="379">
        <v>0</v>
      </c>
      <c r="X404" s="200"/>
      <c r="Y404" s="379">
        <v>616179</v>
      </c>
      <c r="Z404" s="200">
        <v>320917</v>
      </c>
      <c r="AA404" s="200">
        <v>668000</v>
      </c>
      <c r="AB404" s="200"/>
      <c r="AC404" s="200"/>
      <c r="AD404" s="200">
        <v>0</v>
      </c>
      <c r="AE404" s="200"/>
      <c r="AF404" s="200">
        <v>73722</v>
      </c>
      <c r="AG404" s="200"/>
      <c r="AH404" s="200">
        <v>0</v>
      </c>
      <c r="AI404" s="165"/>
      <c r="AJ404" s="166">
        <v>2.0500000000000001E-2</v>
      </c>
      <c r="AK404" s="200"/>
      <c r="AL404" s="377"/>
      <c r="AM404" s="385"/>
    </row>
    <row r="405" spans="1:39">
      <c r="A405" s="377" t="s">
        <v>780</v>
      </c>
      <c r="B405" s="378" t="s">
        <v>781</v>
      </c>
      <c r="C405" s="378" t="s">
        <v>706</v>
      </c>
      <c r="D405" s="121" t="s">
        <v>553</v>
      </c>
      <c r="E405" s="268" t="s">
        <v>621</v>
      </c>
      <c r="F405" s="121" t="s">
        <v>884</v>
      </c>
      <c r="G405" s="121" t="s">
        <v>622</v>
      </c>
      <c r="H405" s="378" t="s">
        <v>1357</v>
      </c>
      <c r="I405" s="378" t="s">
        <v>46</v>
      </c>
      <c r="J405" s="379">
        <v>2852894008.2186236</v>
      </c>
      <c r="K405" s="200"/>
      <c r="L405" s="378"/>
      <c r="M405" s="380">
        <v>1.304E-2</v>
      </c>
      <c r="N405" s="380"/>
      <c r="O405" s="381" t="s">
        <v>717</v>
      </c>
      <c r="P405" s="381"/>
      <c r="Q405" s="381"/>
      <c r="R405" s="382" t="s">
        <v>708</v>
      </c>
      <c r="S405" s="383" t="s">
        <v>728</v>
      </c>
      <c r="T405" s="384"/>
      <c r="U405" s="200">
        <f t="shared" si="11"/>
        <v>58983143.859999999</v>
      </c>
      <c r="V405" s="379">
        <v>57078966</v>
      </c>
      <c r="W405" s="379">
        <v>0</v>
      </c>
      <c r="X405" s="200"/>
      <c r="Y405" s="379">
        <v>712047</v>
      </c>
      <c r="Z405" s="200">
        <v>349570</v>
      </c>
      <c r="AA405" s="200">
        <v>714000</v>
      </c>
      <c r="AB405" s="200"/>
      <c r="AC405" s="200"/>
      <c r="AD405" s="200">
        <v>0</v>
      </c>
      <c r="AE405" s="200"/>
      <c r="AF405" s="200">
        <v>128560.86</v>
      </c>
      <c r="AG405" s="200"/>
      <c r="AH405" s="200">
        <v>0</v>
      </c>
      <c r="AI405" s="165"/>
      <c r="AJ405" s="166">
        <v>2.06E-2</v>
      </c>
      <c r="AK405" s="200"/>
      <c r="AL405" s="377"/>
      <c r="AM405" s="385"/>
    </row>
    <row r="406" spans="1:39">
      <c r="A406" s="377" t="s">
        <v>782</v>
      </c>
      <c r="B406" s="378" t="s">
        <v>783</v>
      </c>
      <c r="C406" s="378" t="s">
        <v>706</v>
      </c>
      <c r="D406" s="121" t="s">
        <v>43</v>
      </c>
      <c r="E406" s="121" t="s">
        <v>44</v>
      </c>
      <c r="F406" s="121" t="s">
        <v>884</v>
      </c>
      <c r="G406" s="121" t="s">
        <v>622</v>
      </c>
      <c r="H406" s="378" t="s">
        <v>1357</v>
      </c>
      <c r="I406" s="378" t="s">
        <v>46</v>
      </c>
      <c r="J406" s="379">
        <v>2423528527.1700406</v>
      </c>
      <c r="K406" s="200"/>
      <c r="L406" s="378"/>
      <c r="M406" s="380">
        <v>7.0475999999999997E-2</v>
      </c>
      <c r="N406" s="380"/>
      <c r="O406" s="381" t="s">
        <v>717</v>
      </c>
      <c r="P406" s="381"/>
      <c r="Q406" s="381"/>
      <c r="R406" s="382" t="s">
        <v>708</v>
      </c>
      <c r="S406" s="383" t="s">
        <v>728</v>
      </c>
      <c r="T406" s="384"/>
      <c r="U406" s="200">
        <f t="shared" si="11"/>
        <v>44064517.289999999</v>
      </c>
      <c r="V406" s="379">
        <v>42432897</v>
      </c>
      <c r="W406" s="379">
        <v>0</v>
      </c>
      <c r="X406" s="200"/>
      <c r="Y406" s="379">
        <v>564167</v>
      </c>
      <c r="Z406" s="200">
        <v>320917</v>
      </c>
      <c r="AA406" s="200">
        <v>605000</v>
      </c>
      <c r="AB406" s="200"/>
      <c r="AC406" s="200"/>
      <c r="AD406" s="200">
        <v>0</v>
      </c>
      <c r="AE406" s="200"/>
      <c r="AF406" s="200">
        <v>141536.29</v>
      </c>
      <c r="AG406" s="200"/>
      <c r="AH406" s="200">
        <v>0</v>
      </c>
      <c r="AI406" s="165"/>
      <c r="AJ406" s="166">
        <v>1.8100000000000002E-2</v>
      </c>
      <c r="AK406" s="200"/>
      <c r="AL406" s="377"/>
      <c r="AM406" s="385"/>
    </row>
    <row r="407" spans="1:39">
      <c r="A407" s="377" t="s">
        <v>784</v>
      </c>
      <c r="B407" s="378" t="s">
        <v>785</v>
      </c>
      <c r="C407" s="378" t="s">
        <v>706</v>
      </c>
      <c r="D407" s="121" t="s">
        <v>43</v>
      </c>
      <c r="E407" s="121" t="s">
        <v>44</v>
      </c>
      <c r="F407" s="121" t="s">
        <v>884</v>
      </c>
      <c r="G407" s="121" t="s">
        <v>622</v>
      </c>
      <c r="H407" s="378" t="s">
        <v>1357</v>
      </c>
      <c r="I407" s="378" t="s">
        <v>46</v>
      </c>
      <c r="J407" s="379">
        <v>3612184221.1457491</v>
      </c>
      <c r="K407" s="200"/>
      <c r="L407" s="378"/>
      <c r="M407" s="380">
        <v>0.10377599999999999</v>
      </c>
      <c r="N407" s="380"/>
      <c r="O407" s="381" t="s">
        <v>717</v>
      </c>
      <c r="P407" s="381"/>
      <c r="Q407" s="381"/>
      <c r="R407" s="382" t="s">
        <v>708</v>
      </c>
      <c r="S407" s="383" t="s">
        <v>728</v>
      </c>
      <c r="T407" s="384"/>
      <c r="U407" s="200">
        <f t="shared" si="11"/>
        <v>74252848</v>
      </c>
      <c r="V407" s="379">
        <v>72104906</v>
      </c>
      <c r="W407" s="379">
        <v>0</v>
      </c>
      <c r="X407" s="200"/>
      <c r="Y407" s="379">
        <v>848611</v>
      </c>
      <c r="Z407" s="200">
        <v>320917</v>
      </c>
      <c r="AA407" s="200">
        <v>903000</v>
      </c>
      <c r="AB407" s="200"/>
      <c r="AC407" s="200"/>
      <c r="AD407" s="200">
        <v>0</v>
      </c>
      <c r="AE407" s="200"/>
      <c r="AF407" s="200">
        <v>75414</v>
      </c>
      <c r="AG407" s="200"/>
      <c r="AH407" s="200">
        <v>0</v>
      </c>
      <c r="AI407" s="165"/>
      <c r="AJ407" s="166">
        <v>2.0500000000000001E-2</v>
      </c>
      <c r="AK407" s="200"/>
      <c r="AL407" s="377"/>
      <c r="AM407" s="385"/>
    </row>
    <row r="408" spans="1:39">
      <c r="A408" s="377" t="s">
        <v>786</v>
      </c>
      <c r="B408" s="378" t="s">
        <v>787</v>
      </c>
      <c r="C408" s="378" t="s">
        <v>706</v>
      </c>
      <c r="D408" s="121" t="s">
        <v>43</v>
      </c>
      <c r="E408" s="121" t="s">
        <v>44</v>
      </c>
      <c r="F408" s="121" t="s">
        <v>884</v>
      </c>
      <c r="G408" s="121" t="s">
        <v>622</v>
      </c>
      <c r="H408" s="378" t="s">
        <v>1357</v>
      </c>
      <c r="I408" s="378" t="s">
        <v>46</v>
      </c>
      <c r="J408" s="379">
        <v>1316477051.8744938</v>
      </c>
      <c r="K408" s="200"/>
      <c r="L408" s="378"/>
      <c r="M408" s="380">
        <v>8.4005999999999997E-2</v>
      </c>
      <c r="N408" s="380"/>
      <c r="O408" s="381" t="s">
        <v>717</v>
      </c>
      <c r="P408" s="381"/>
      <c r="Q408" s="381"/>
      <c r="R408" s="382" t="s">
        <v>708</v>
      </c>
      <c r="S408" s="383" t="s">
        <v>728</v>
      </c>
      <c r="T408" s="384"/>
      <c r="U408" s="200">
        <f t="shared" si="11"/>
        <v>27224515</v>
      </c>
      <c r="V408" s="379">
        <v>26338720</v>
      </c>
      <c r="W408" s="379">
        <v>0</v>
      </c>
      <c r="X408" s="200"/>
      <c r="Y408" s="379">
        <v>304322</v>
      </c>
      <c r="Z408" s="200">
        <v>178094</v>
      </c>
      <c r="AA408" s="200">
        <v>329000</v>
      </c>
      <c r="AB408" s="200"/>
      <c r="AC408" s="200"/>
      <c r="AD408" s="200">
        <v>0</v>
      </c>
      <c r="AE408" s="200"/>
      <c r="AF408" s="200">
        <v>74379</v>
      </c>
      <c r="AG408" s="200"/>
      <c r="AH408" s="200">
        <v>0</v>
      </c>
      <c r="AI408" s="165"/>
      <c r="AJ408" s="166">
        <v>2.06E-2</v>
      </c>
      <c r="AK408" s="200"/>
      <c r="AL408" s="377"/>
      <c r="AM408" s="385"/>
    </row>
    <row r="409" spans="1:39">
      <c r="A409" s="377" t="s">
        <v>788</v>
      </c>
      <c r="B409" s="378" t="s">
        <v>789</v>
      </c>
      <c r="C409" s="378" t="s">
        <v>706</v>
      </c>
      <c r="D409" s="121" t="s">
        <v>43</v>
      </c>
      <c r="E409" s="121" t="s">
        <v>44</v>
      </c>
      <c r="F409" s="121" t="s">
        <v>884</v>
      </c>
      <c r="G409" s="121" t="s">
        <v>622</v>
      </c>
      <c r="H409" s="378" t="s">
        <v>1357</v>
      </c>
      <c r="I409" s="378" t="s">
        <v>46</v>
      </c>
      <c r="J409" s="379">
        <v>2158415739.3643723</v>
      </c>
      <c r="K409" s="200"/>
      <c r="L409" s="378"/>
      <c r="M409" s="380">
        <v>9.0891E-2</v>
      </c>
      <c r="N409" s="380"/>
      <c r="O409" s="381" t="s">
        <v>717</v>
      </c>
      <c r="P409" s="381"/>
      <c r="Q409" s="381"/>
      <c r="R409" s="382" t="s">
        <v>708</v>
      </c>
      <c r="S409" s="383" t="s">
        <v>728</v>
      </c>
      <c r="T409" s="384"/>
      <c r="U409" s="200">
        <f t="shared" si="11"/>
        <v>44670829.189999998</v>
      </c>
      <c r="V409" s="379">
        <v>43200465</v>
      </c>
      <c r="W409" s="379">
        <v>0</v>
      </c>
      <c r="X409" s="200"/>
      <c r="Y409" s="379">
        <v>505619</v>
      </c>
      <c r="Z409" s="200">
        <v>292016</v>
      </c>
      <c r="AA409" s="200">
        <v>539000</v>
      </c>
      <c r="AB409" s="200"/>
      <c r="AC409" s="200"/>
      <c r="AD409" s="200">
        <v>0</v>
      </c>
      <c r="AE409" s="200"/>
      <c r="AF409" s="200">
        <v>133729.19</v>
      </c>
      <c r="AG409" s="200"/>
      <c r="AH409" s="200">
        <v>0</v>
      </c>
      <c r="AI409" s="165"/>
      <c r="AJ409" s="166">
        <v>2.06E-2</v>
      </c>
      <c r="AK409" s="200"/>
      <c r="AL409" s="377"/>
      <c r="AM409" s="385"/>
    </row>
    <row r="410" spans="1:39">
      <c r="A410" s="377" t="s">
        <v>790</v>
      </c>
      <c r="B410" s="378" t="s">
        <v>791</v>
      </c>
      <c r="C410" s="378" t="s">
        <v>706</v>
      </c>
      <c r="D410" s="121" t="s">
        <v>43</v>
      </c>
      <c r="E410" s="121" t="s">
        <v>44</v>
      </c>
      <c r="F410" s="121" t="s">
        <v>55</v>
      </c>
      <c r="G410" s="121" t="s">
        <v>666</v>
      </c>
      <c r="H410" s="378" t="s">
        <v>1358</v>
      </c>
      <c r="I410" s="378" t="s">
        <v>46</v>
      </c>
      <c r="J410" s="379">
        <v>2573292948.8148174</v>
      </c>
      <c r="K410" s="200"/>
      <c r="L410" s="378"/>
      <c r="M410" s="380">
        <v>6.2506000000000006E-2</v>
      </c>
      <c r="N410" s="380">
        <v>4.6698000000000003E-2</v>
      </c>
      <c r="O410" s="381" t="s">
        <v>717</v>
      </c>
      <c r="P410" s="381">
        <v>0.2</v>
      </c>
      <c r="Q410" s="381" t="s">
        <v>108</v>
      </c>
      <c r="R410" s="382" t="s">
        <v>708</v>
      </c>
      <c r="S410" s="383"/>
      <c r="T410" s="384"/>
      <c r="U410" s="200">
        <f t="shared" si="11"/>
        <v>24214167.278800823</v>
      </c>
      <c r="V410" s="379">
        <v>20777242.710600857</v>
      </c>
      <c r="W410" s="379">
        <v>0</v>
      </c>
      <c r="X410" s="200"/>
      <c r="Y410" s="379">
        <v>789779.61150222586</v>
      </c>
      <c r="Z410" s="200">
        <v>349233.63327573641</v>
      </c>
      <c r="AA410" s="200">
        <v>644190.61755059764</v>
      </c>
      <c r="AB410" s="200"/>
      <c r="AC410" s="200"/>
      <c r="AD410" s="200">
        <v>1389857.0510432592</v>
      </c>
      <c r="AE410" s="200"/>
      <c r="AF410" s="200">
        <v>263863.65482814563</v>
      </c>
      <c r="AG410" s="200"/>
      <c r="AH410" s="200">
        <v>0</v>
      </c>
      <c r="AI410" s="165"/>
      <c r="AJ410" s="166">
        <v>8.8000000000000005E-3</v>
      </c>
      <c r="AK410" s="200"/>
      <c r="AL410" s="377"/>
      <c r="AM410" s="385"/>
    </row>
    <row r="411" spans="1:39">
      <c r="A411" s="377" t="s">
        <v>792</v>
      </c>
      <c r="B411" s="378" t="s">
        <v>793</v>
      </c>
      <c r="C411" s="378" t="s">
        <v>706</v>
      </c>
      <c r="D411" s="121" t="s">
        <v>43</v>
      </c>
      <c r="E411" s="121" t="s">
        <v>44</v>
      </c>
      <c r="F411" s="121" t="s">
        <v>55</v>
      </c>
      <c r="G411" s="121" t="s">
        <v>666</v>
      </c>
      <c r="H411" s="378" t="s">
        <v>1358</v>
      </c>
      <c r="I411" s="378" t="s">
        <v>69</v>
      </c>
      <c r="J411" s="379">
        <v>387588.91805668001</v>
      </c>
      <c r="K411" s="200"/>
      <c r="L411" s="378"/>
      <c r="M411" s="380">
        <v>4.2395000000000002E-2</v>
      </c>
      <c r="N411" s="380">
        <v>2.6886E-2</v>
      </c>
      <c r="O411" s="381" t="s">
        <v>717</v>
      </c>
      <c r="P411" s="381">
        <v>0.2</v>
      </c>
      <c r="Q411" s="381" t="s">
        <v>108</v>
      </c>
      <c r="R411" s="382" t="s">
        <v>708</v>
      </c>
      <c r="S411" s="383"/>
      <c r="T411" s="384"/>
      <c r="U411" s="200">
        <f t="shared" si="11"/>
        <v>3647.2393686395671</v>
      </c>
      <c r="V411" s="379">
        <v>3129.5553843896555</v>
      </c>
      <c r="W411" s="379">
        <v>0</v>
      </c>
      <c r="X411" s="200"/>
      <c r="Y411" s="379">
        <v>118.95991542693413</v>
      </c>
      <c r="Z411" s="200">
        <v>52.603033648464155</v>
      </c>
      <c r="AA411" s="200">
        <v>97.030690925132319</v>
      </c>
      <c r="AB411" s="200"/>
      <c r="AC411" s="200"/>
      <c r="AD411" s="200">
        <v>209.34609458092879</v>
      </c>
      <c r="AE411" s="200"/>
      <c r="AF411" s="200">
        <v>39.744249668452575</v>
      </c>
      <c r="AG411" s="200"/>
      <c r="AH411" s="200">
        <v>0</v>
      </c>
      <c r="AI411" s="165"/>
      <c r="AJ411" s="166">
        <v>8.8000000000000005E-3</v>
      </c>
      <c r="AK411" s="200"/>
      <c r="AL411" s="377"/>
      <c r="AM411" s="385"/>
    </row>
    <row r="412" spans="1:39">
      <c r="A412" s="377" t="s">
        <v>794</v>
      </c>
      <c r="B412" s="378" t="s">
        <v>795</v>
      </c>
      <c r="C412" s="378" t="s">
        <v>706</v>
      </c>
      <c r="D412" s="121" t="s">
        <v>43</v>
      </c>
      <c r="E412" s="121" t="s">
        <v>44</v>
      </c>
      <c r="F412" s="121" t="s">
        <v>884</v>
      </c>
      <c r="G412" s="121" t="s">
        <v>97</v>
      </c>
      <c r="H412" s="390" t="s">
        <v>1356</v>
      </c>
      <c r="I412" s="378" t="s">
        <v>46</v>
      </c>
      <c r="J412" s="379">
        <v>2977324263.8128309</v>
      </c>
      <c r="K412" s="200"/>
      <c r="L412" s="378"/>
      <c r="M412" s="380">
        <v>-3.1435999999999999E-2</v>
      </c>
      <c r="N412" s="380">
        <v>2.5956E-2</v>
      </c>
      <c r="O412" s="381" t="s">
        <v>717</v>
      </c>
      <c r="P412" s="381">
        <v>0.2</v>
      </c>
      <c r="Q412" s="381" t="s">
        <v>108</v>
      </c>
      <c r="R412" s="382" t="s">
        <v>708</v>
      </c>
      <c r="S412" s="383"/>
      <c r="T412" s="384"/>
      <c r="U412" s="200">
        <f t="shared" si="11"/>
        <v>62573226.641633749</v>
      </c>
      <c r="V412" s="379">
        <v>60068660.944478825</v>
      </c>
      <c r="W412" s="379">
        <v>0</v>
      </c>
      <c r="X412" s="200"/>
      <c r="Y412" s="379">
        <v>930332.43834129709</v>
      </c>
      <c r="Z412" s="200">
        <v>251420.22850284909</v>
      </c>
      <c r="AA412" s="200">
        <v>744230.11737109022</v>
      </c>
      <c r="AB412" s="200"/>
      <c r="AC412" s="200"/>
      <c r="AD412" s="200">
        <v>414686.39960309252</v>
      </c>
      <c r="AE412" s="200"/>
      <c r="AF412" s="200">
        <v>163896.51333659797</v>
      </c>
      <c r="AG412" s="200"/>
      <c r="AH412" s="200">
        <v>0</v>
      </c>
      <c r="AI412" s="165"/>
      <c r="AJ412" s="166">
        <v>2.0799999999999999E-2</v>
      </c>
      <c r="AK412" s="200"/>
      <c r="AL412" s="377"/>
      <c r="AM412" s="385"/>
    </row>
    <row r="413" spans="1:39">
      <c r="A413" s="377" t="s">
        <v>796</v>
      </c>
      <c r="B413" s="378" t="s">
        <v>797</v>
      </c>
      <c r="C413" s="378" t="s">
        <v>706</v>
      </c>
      <c r="D413" s="121" t="s">
        <v>43</v>
      </c>
      <c r="E413" s="121" t="s">
        <v>44</v>
      </c>
      <c r="F413" s="121" t="s">
        <v>884</v>
      </c>
      <c r="G413" s="121" t="s">
        <v>97</v>
      </c>
      <c r="H413" s="390" t="s">
        <v>1356</v>
      </c>
      <c r="I413" s="378" t="s">
        <v>69</v>
      </c>
      <c r="J413" s="379">
        <v>4520543.4559919052</v>
      </c>
      <c r="K413" s="200"/>
      <c r="L413" s="378"/>
      <c r="M413" s="380">
        <v>-4.9769000000000001E-2</v>
      </c>
      <c r="N413" s="380">
        <v>6.5360000000000001E-3</v>
      </c>
      <c r="O413" s="381" t="s">
        <v>717</v>
      </c>
      <c r="P413" s="381">
        <v>0.2</v>
      </c>
      <c r="Q413" s="381" t="s">
        <v>108</v>
      </c>
      <c r="R413" s="382" t="s">
        <v>708</v>
      </c>
      <c r="S413" s="383"/>
      <c r="T413" s="384"/>
      <c r="U413" s="200">
        <f t="shared" si="11"/>
        <v>95081.98137021088</v>
      </c>
      <c r="V413" s="379">
        <v>91276.21520249809</v>
      </c>
      <c r="W413" s="379">
        <v>0</v>
      </c>
      <c r="X413" s="200"/>
      <c r="Y413" s="379">
        <v>1413.6693330053351</v>
      </c>
      <c r="Z413" s="200">
        <v>382.0409265373612</v>
      </c>
      <c r="AA413" s="200">
        <v>1130.8810165775442</v>
      </c>
      <c r="AB413" s="200"/>
      <c r="AC413" s="200"/>
      <c r="AD413" s="200">
        <v>630.12899666111241</v>
      </c>
      <c r="AE413" s="200"/>
      <c r="AF413" s="200">
        <v>249.04589493143072</v>
      </c>
      <c r="AG413" s="200"/>
      <c r="AH413" s="200">
        <v>0</v>
      </c>
      <c r="AI413" s="165"/>
      <c r="AJ413" s="166">
        <v>2.0799999999999999E-2</v>
      </c>
      <c r="AK413" s="200"/>
      <c r="AL413" s="377"/>
      <c r="AM413" s="385"/>
    </row>
    <row r="414" spans="1:39">
      <c r="A414" s="108" t="s">
        <v>799</v>
      </c>
      <c r="B414" s="386" t="s">
        <v>800</v>
      </c>
      <c r="C414" s="386" t="s">
        <v>706</v>
      </c>
      <c r="D414" s="102" t="s">
        <v>43</v>
      </c>
      <c r="E414" s="389" t="s">
        <v>621</v>
      </c>
      <c r="F414" s="128" t="s">
        <v>884</v>
      </c>
      <c r="G414" s="102" t="s">
        <v>622</v>
      </c>
      <c r="H414" s="207" t="s">
        <v>1358</v>
      </c>
      <c r="I414" s="57" t="s">
        <v>46</v>
      </c>
      <c r="J414" s="379">
        <v>3595042316.6842103</v>
      </c>
      <c r="K414" s="58"/>
      <c r="L414" s="57"/>
      <c r="M414" s="387">
        <v>7.0873000000000005E-2</v>
      </c>
      <c r="N414" s="57"/>
      <c r="O414" s="381" t="s">
        <v>727</v>
      </c>
      <c r="P414" s="381"/>
      <c r="Q414" s="381"/>
      <c r="R414" s="382" t="s">
        <v>708</v>
      </c>
      <c r="S414" s="383" t="s">
        <v>728</v>
      </c>
      <c r="T414" s="382"/>
      <c r="U414" s="200">
        <f>SUM(V414:AH414)</f>
        <v>0</v>
      </c>
      <c r="V414" s="179"/>
      <c r="W414" s="179"/>
      <c r="X414" s="179"/>
      <c r="Y414" s="179"/>
      <c r="Z414" s="179"/>
      <c r="AA414" s="179"/>
      <c r="AB414" s="179"/>
      <c r="AC414" s="179"/>
      <c r="AD414" s="179"/>
      <c r="AE414" s="179"/>
      <c r="AF414" s="179"/>
      <c r="AG414" s="179"/>
      <c r="AH414" s="179"/>
      <c r="AI414" s="165"/>
      <c r="AJ414" s="168"/>
      <c r="AK414" s="179"/>
      <c r="AL414" s="385" t="s">
        <v>702</v>
      </c>
      <c r="AM414" s="59">
        <v>41621</v>
      </c>
    </row>
    <row r="415" spans="1:39">
      <c r="A415" s="388" t="s">
        <v>801</v>
      </c>
      <c r="B415" s="378" t="s">
        <v>800</v>
      </c>
      <c r="C415" s="378" t="s">
        <v>706</v>
      </c>
      <c r="D415" s="121" t="s">
        <v>43</v>
      </c>
      <c r="E415" s="121" t="s">
        <v>44</v>
      </c>
      <c r="F415" s="121" t="s">
        <v>1348</v>
      </c>
      <c r="G415" s="121" t="s">
        <v>641</v>
      </c>
      <c r="H415" s="121" t="s">
        <v>45</v>
      </c>
      <c r="I415" s="378" t="s">
        <v>46</v>
      </c>
      <c r="J415" s="379">
        <v>3595042316.6842103</v>
      </c>
      <c r="K415" s="200"/>
      <c r="L415" s="378"/>
      <c r="M415" s="380">
        <v>7.0873000000000005E-2</v>
      </c>
      <c r="N415" s="380"/>
      <c r="O415" s="381" t="s">
        <v>734</v>
      </c>
      <c r="P415" s="381"/>
      <c r="Q415" s="381"/>
      <c r="R415" s="382" t="s">
        <v>708</v>
      </c>
      <c r="S415" s="383" t="s">
        <v>728</v>
      </c>
      <c r="T415" s="384"/>
      <c r="U415" s="200">
        <f t="shared" si="11"/>
        <v>80945175</v>
      </c>
      <c r="V415" s="379">
        <v>78831753</v>
      </c>
      <c r="W415" s="379">
        <v>0</v>
      </c>
      <c r="X415" s="200"/>
      <c r="Y415" s="379">
        <v>821122</v>
      </c>
      <c r="Z415" s="200">
        <v>320917</v>
      </c>
      <c r="AA415" s="200">
        <v>898000</v>
      </c>
      <c r="AB415" s="200"/>
      <c r="AC415" s="200"/>
      <c r="AD415" s="200">
        <v>0</v>
      </c>
      <c r="AE415" s="200"/>
      <c r="AF415" s="200">
        <v>73383</v>
      </c>
      <c r="AG415" s="200"/>
      <c r="AH415" s="200">
        <v>0</v>
      </c>
      <c r="AI415" s="165"/>
      <c r="AJ415" s="166">
        <v>2.2499999999999999E-2</v>
      </c>
      <c r="AK415" s="200"/>
      <c r="AL415" s="385" t="s">
        <v>703</v>
      </c>
      <c r="AM415" s="59">
        <v>41621</v>
      </c>
    </row>
    <row r="416" spans="1:39">
      <c r="A416" s="108" t="s">
        <v>802</v>
      </c>
      <c r="B416" s="386" t="s">
        <v>803</v>
      </c>
      <c r="C416" s="386" t="s">
        <v>706</v>
      </c>
      <c r="D416" s="102" t="s">
        <v>43</v>
      </c>
      <c r="E416" s="389" t="s">
        <v>621</v>
      </c>
      <c r="F416" s="128" t="s">
        <v>884</v>
      </c>
      <c r="G416" s="102" t="s">
        <v>622</v>
      </c>
      <c r="H416" s="207" t="s">
        <v>1358</v>
      </c>
      <c r="I416" s="57" t="s">
        <v>46</v>
      </c>
      <c r="J416" s="379">
        <v>2418578414.0080972</v>
      </c>
      <c r="K416" s="58"/>
      <c r="L416" s="57"/>
      <c r="M416" s="387">
        <v>6.2454999999999997E-2</v>
      </c>
      <c r="N416" s="57"/>
      <c r="O416" s="381" t="s">
        <v>727</v>
      </c>
      <c r="P416" s="381"/>
      <c r="Q416" s="381"/>
      <c r="R416" s="382" t="s">
        <v>708</v>
      </c>
      <c r="S416" s="383" t="s">
        <v>728</v>
      </c>
      <c r="T416" s="382"/>
      <c r="U416" s="200">
        <f>SUM(V416:AH416)</f>
        <v>0</v>
      </c>
      <c r="V416" s="179"/>
      <c r="W416" s="179"/>
      <c r="X416" s="179"/>
      <c r="Y416" s="179"/>
      <c r="Z416" s="179"/>
      <c r="AA416" s="179"/>
      <c r="AB416" s="179"/>
      <c r="AC416" s="179"/>
      <c r="AD416" s="179"/>
      <c r="AE416" s="179"/>
      <c r="AF416" s="179"/>
      <c r="AG416" s="179"/>
      <c r="AH416" s="179"/>
      <c r="AI416" s="165"/>
      <c r="AJ416" s="168"/>
      <c r="AK416" s="179"/>
      <c r="AL416" s="385" t="s">
        <v>702</v>
      </c>
      <c r="AM416" s="59">
        <v>41621</v>
      </c>
    </row>
    <row r="417" spans="1:39">
      <c r="A417" s="388" t="s">
        <v>804</v>
      </c>
      <c r="B417" s="378" t="s">
        <v>803</v>
      </c>
      <c r="C417" s="378" t="s">
        <v>706</v>
      </c>
      <c r="D417" s="121" t="s">
        <v>43</v>
      </c>
      <c r="E417" s="121" t="s">
        <v>44</v>
      </c>
      <c r="F417" s="121" t="s">
        <v>1348</v>
      </c>
      <c r="G417" s="121" t="s">
        <v>641</v>
      </c>
      <c r="H417" s="121" t="s">
        <v>45</v>
      </c>
      <c r="I417" s="378" t="s">
        <v>46</v>
      </c>
      <c r="J417" s="379">
        <v>2418578414.0080972</v>
      </c>
      <c r="K417" s="200"/>
      <c r="L417" s="378"/>
      <c r="M417" s="380">
        <v>6.2454999999999997E-2</v>
      </c>
      <c r="N417" s="380"/>
      <c r="O417" s="381" t="s">
        <v>734</v>
      </c>
      <c r="P417" s="381"/>
      <c r="Q417" s="381"/>
      <c r="R417" s="382" t="s">
        <v>708</v>
      </c>
      <c r="S417" s="383" t="s">
        <v>728</v>
      </c>
      <c r="T417" s="384"/>
      <c r="U417" s="200">
        <f t="shared" si="11"/>
        <v>51863637</v>
      </c>
      <c r="V417" s="379">
        <v>50312907</v>
      </c>
      <c r="W417" s="379">
        <v>0</v>
      </c>
      <c r="X417" s="200"/>
      <c r="Y417" s="379">
        <v>551694</v>
      </c>
      <c r="Z417" s="200">
        <v>320917</v>
      </c>
      <c r="AA417" s="200">
        <v>604000</v>
      </c>
      <c r="AB417" s="200"/>
      <c r="AC417" s="200"/>
      <c r="AD417" s="200">
        <v>0</v>
      </c>
      <c r="AE417" s="200"/>
      <c r="AF417" s="200">
        <v>74119</v>
      </c>
      <c r="AG417" s="200"/>
      <c r="AH417" s="200">
        <v>0</v>
      </c>
      <c r="AI417" s="165"/>
      <c r="AJ417" s="166">
        <v>2.1399999999999999E-2</v>
      </c>
      <c r="AK417" s="200"/>
      <c r="AL417" s="385" t="s">
        <v>703</v>
      </c>
      <c r="AM417" s="59">
        <v>41621</v>
      </c>
    </row>
    <row r="418" spans="1:39">
      <c r="A418" s="377" t="s">
        <v>805</v>
      </c>
      <c r="B418" s="378" t="s">
        <v>806</v>
      </c>
      <c r="C418" s="378" t="s">
        <v>706</v>
      </c>
      <c r="D418" s="121" t="s">
        <v>43</v>
      </c>
      <c r="E418" s="121" t="s">
        <v>44</v>
      </c>
      <c r="F418" s="121" t="s">
        <v>884</v>
      </c>
      <c r="G418" s="121" t="s">
        <v>622</v>
      </c>
      <c r="H418" s="378" t="s">
        <v>1358</v>
      </c>
      <c r="I418" s="378" t="s">
        <v>46</v>
      </c>
      <c r="J418" s="379">
        <v>1049063777.680162</v>
      </c>
      <c r="K418" s="200"/>
      <c r="L418" s="378"/>
      <c r="M418" s="380">
        <v>0.100818</v>
      </c>
      <c r="N418" s="380"/>
      <c r="O418" s="381" t="s">
        <v>717</v>
      </c>
      <c r="P418" s="381"/>
      <c r="Q418" s="381"/>
      <c r="R418" s="382" t="s">
        <v>708</v>
      </c>
      <c r="S418" s="383"/>
      <c r="T418" s="384"/>
      <c r="U418" s="200">
        <f t="shared" si="11"/>
        <v>16603352</v>
      </c>
      <c r="V418" s="379">
        <v>15877623</v>
      </c>
      <c r="W418" s="379">
        <v>0</v>
      </c>
      <c r="X418" s="200"/>
      <c r="Y418" s="379">
        <v>241828</v>
      </c>
      <c r="Z418" s="200">
        <v>146314</v>
      </c>
      <c r="AA418" s="200">
        <v>262000</v>
      </c>
      <c r="AB418" s="200"/>
      <c r="AC418" s="200"/>
      <c r="AD418" s="200">
        <v>0</v>
      </c>
      <c r="AE418" s="200"/>
      <c r="AF418" s="200">
        <v>75587</v>
      </c>
      <c r="AG418" s="200"/>
      <c r="AH418" s="200">
        <v>0</v>
      </c>
      <c r="AI418" s="165"/>
      <c r="AJ418" s="166">
        <v>1.5800000000000002E-2</v>
      </c>
      <c r="AK418" s="200"/>
      <c r="AL418" s="377"/>
      <c r="AM418" s="385"/>
    </row>
    <row r="419" spans="1:39">
      <c r="A419" s="377" t="s">
        <v>807</v>
      </c>
      <c r="B419" s="378" t="s">
        <v>808</v>
      </c>
      <c r="C419" s="378" t="s">
        <v>706</v>
      </c>
      <c r="D419" s="121" t="s">
        <v>43</v>
      </c>
      <c r="E419" s="121" t="s">
        <v>44</v>
      </c>
      <c r="F419" s="121" t="s">
        <v>884</v>
      </c>
      <c r="G419" s="121" t="s">
        <v>58</v>
      </c>
      <c r="H419" s="378" t="s">
        <v>1358</v>
      </c>
      <c r="I419" s="378" t="s">
        <v>69</v>
      </c>
      <c r="J419" s="379">
        <v>214172.81574898792</v>
      </c>
      <c r="K419" s="200"/>
      <c r="L419" s="378"/>
      <c r="M419" s="380">
        <v>0.37359300000000001</v>
      </c>
      <c r="N419" s="380">
        <v>0.227441</v>
      </c>
      <c r="O419" s="381" t="s">
        <v>717</v>
      </c>
      <c r="P419" s="381"/>
      <c r="Q419" s="381"/>
      <c r="R419" s="382" t="s">
        <v>708</v>
      </c>
      <c r="S419" s="383"/>
      <c r="T419" s="384"/>
      <c r="U419" s="200">
        <f t="shared" si="11"/>
        <v>5174.5164546543019</v>
      </c>
      <c r="V419" s="379">
        <v>4319.4808067113136</v>
      </c>
      <c r="W419" s="379">
        <v>0</v>
      </c>
      <c r="X419" s="200"/>
      <c r="Y419" s="379">
        <v>64.01700342658998</v>
      </c>
      <c r="Z419" s="200">
        <v>30.578352374222625</v>
      </c>
      <c r="AA419" s="200">
        <v>53.725339094420569</v>
      </c>
      <c r="AB419" s="200"/>
      <c r="AC419" s="200"/>
      <c r="AD419" s="200">
        <v>641.14380603698623</v>
      </c>
      <c r="AE419" s="200"/>
      <c r="AF419" s="200">
        <v>65.571147010768058</v>
      </c>
      <c r="AG419" s="200"/>
      <c r="AH419" s="200">
        <v>0</v>
      </c>
      <c r="AI419" s="165"/>
      <c r="AJ419" s="166">
        <v>2.0799999999999999E-2</v>
      </c>
      <c r="AK419" s="200"/>
      <c r="AL419" s="377"/>
      <c r="AM419" s="385"/>
    </row>
    <row r="420" spans="1:39">
      <c r="A420" s="377" t="s">
        <v>809</v>
      </c>
      <c r="B420" s="378" t="s">
        <v>810</v>
      </c>
      <c r="C420" s="378" t="s">
        <v>706</v>
      </c>
      <c r="D420" s="121" t="s">
        <v>43</v>
      </c>
      <c r="E420" s="121" t="s">
        <v>44</v>
      </c>
      <c r="F420" s="121" t="s">
        <v>884</v>
      </c>
      <c r="G420" s="121" t="s">
        <v>58</v>
      </c>
      <c r="H420" s="378" t="s">
        <v>1358</v>
      </c>
      <c r="I420" s="378" t="s">
        <v>46</v>
      </c>
      <c r="J420" s="379">
        <v>1054356522.3604866</v>
      </c>
      <c r="K420" s="200"/>
      <c r="L420" s="378"/>
      <c r="M420" s="380">
        <v>0.40009600000000001</v>
      </c>
      <c r="N420" s="380">
        <v>0.204208</v>
      </c>
      <c r="O420" s="381" t="s">
        <v>717</v>
      </c>
      <c r="P420" s="381"/>
      <c r="Q420" s="381"/>
      <c r="R420" s="382" t="s">
        <v>708</v>
      </c>
      <c r="S420" s="383"/>
      <c r="T420" s="384"/>
      <c r="U420" s="200">
        <f t="shared" si="11"/>
        <v>25431628.038958397</v>
      </c>
      <c r="V420" s="379">
        <v>21229312.953270152</v>
      </c>
      <c r="W420" s="379">
        <v>0</v>
      </c>
      <c r="X420" s="200"/>
      <c r="Y420" s="379">
        <v>314629.71150654671</v>
      </c>
      <c r="Z420" s="200">
        <v>150285.98139367279</v>
      </c>
      <c r="AA420" s="200">
        <v>264048.40956438606</v>
      </c>
      <c r="AB420" s="200"/>
      <c r="AC420" s="200"/>
      <c r="AD420" s="200">
        <v>3151082.9924888215</v>
      </c>
      <c r="AE420" s="200"/>
      <c r="AF420" s="200">
        <v>322267.99073482113</v>
      </c>
      <c r="AG420" s="200"/>
      <c r="AH420" s="200">
        <v>0</v>
      </c>
      <c r="AI420" s="165"/>
      <c r="AJ420" s="166">
        <v>2.0799999999999999E-2</v>
      </c>
      <c r="AK420" s="200"/>
      <c r="AL420" s="377"/>
      <c r="AM420" s="385"/>
    </row>
    <row r="421" spans="1:39">
      <c r="A421" s="377" t="s">
        <v>811</v>
      </c>
      <c r="B421" s="378" t="s">
        <v>812</v>
      </c>
      <c r="C421" s="378" t="s">
        <v>706</v>
      </c>
      <c r="D421" s="121" t="s">
        <v>43</v>
      </c>
      <c r="E421" s="121" t="s">
        <v>44</v>
      </c>
      <c r="F421" s="121" t="s">
        <v>1348</v>
      </c>
      <c r="G421" s="121" t="s">
        <v>58</v>
      </c>
      <c r="H421" s="378" t="s">
        <v>1359</v>
      </c>
      <c r="I421" s="378" t="s">
        <v>69</v>
      </c>
      <c r="J421" s="379">
        <v>1543500.1902834007</v>
      </c>
      <c r="K421" s="200"/>
      <c r="L421" s="378"/>
      <c r="M421" s="380">
        <v>-1.397E-2</v>
      </c>
      <c r="N421" s="380">
        <v>-5.8968E-2</v>
      </c>
      <c r="O421" s="381" t="s">
        <v>813</v>
      </c>
      <c r="P421" s="381"/>
      <c r="Q421" s="381"/>
      <c r="R421" s="382" t="s">
        <v>708</v>
      </c>
      <c r="S421" s="383"/>
      <c r="T421" s="384"/>
      <c r="U421" s="200">
        <f t="shared" si="11"/>
        <v>33024.93752315516</v>
      </c>
      <c r="V421" s="379">
        <v>30824</v>
      </c>
      <c r="W421" s="379">
        <v>0</v>
      </c>
      <c r="X421" s="200"/>
      <c r="Y421" s="379">
        <v>266</v>
      </c>
      <c r="Z421" s="200">
        <v>0</v>
      </c>
      <c r="AA421" s="200">
        <v>386</v>
      </c>
      <c r="AB421" s="200"/>
      <c r="AC421" s="200"/>
      <c r="AD421" s="200">
        <v>190.79182243777575</v>
      </c>
      <c r="AE421" s="200"/>
      <c r="AF421" s="200">
        <v>1358.0262369068066</v>
      </c>
      <c r="AG421" s="200"/>
      <c r="AH421" s="200">
        <v>0.11946381058233133</v>
      </c>
      <c r="AI421" s="165"/>
      <c r="AJ421" s="166">
        <v>2.0400000000000001E-2</v>
      </c>
      <c r="AK421" s="200"/>
      <c r="AL421" s="377"/>
      <c r="AM421" s="385"/>
    </row>
    <row r="422" spans="1:39">
      <c r="A422" s="377" t="s">
        <v>814</v>
      </c>
      <c r="B422" s="378" t="s">
        <v>815</v>
      </c>
      <c r="C422" s="378" t="s">
        <v>706</v>
      </c>
      <c r="D422" s="121" t="s">
        <v>43</v>
      </c>
      <c r="E422" s="121" t="s">
        <v>44</v>
      </c>
      <c r="F422" s="121" t="s">
        <v>1348</v>
      </c>
      <c r="G422" s="121" t="s">
        <v>48</v>
      </c>
      <c r="H422" s="121" t="s">
        <v>45</v>
      </c>
      <c r="I422" s="378" t="s">
        <v>46</v>
      </c>
      <c r="J422" s="379">
        <v>8940253936.4112911</v>
      </c>
      <c r="K422" s="200"/>
      <c r="L422" s="378"/>
      <c r="M422" s="380">
        <v>0.10125099999999999</v>
      </c>
      <c r="N422" s="380">
        <v>0.100259</v>
      </c>
      <c r="O422" s="381" t="s">
        <v>734</v>
      </c>
      <c r="P422" s="381"/>
      <c r="Q422" s="381"/>
      <c r="R422" s="382" t="s">
        <v>708</v>
      </c>
      <c r="S422" s="383"/>
      <c r="T422" s="384"/>
      <c r="U422" s="200">
        <f t="shared" si="11"/>
        <v>140735551.34</v>
      </c>
      <c r="V422" s="379">
        <v>134956534</v>
      </c>
      <c r="W422" s="379">
        <v>0</v>
      </c>
      <c r="X422" s="200"/>
      <c r="Y422" s="379">
        <v>2641383</v>
      </c>
      <c r="Z422" s="200">
        <v>510394</v>
      </c>
      <c r="AA422" s="200">
        <v>2237000</v>
      </c>
      <c r="AB422" s="200"/>
      <c r="AC422" s="200"/>
      <c r="AD422" s="200">
        <v>100000</v>
      </c>
      <c r="AE422" s="200"/>
      <c r="AF422" s="200">
        <v>216697.34</v>
      </c>
      <c r="AG422" s="200"/>
      <c r="AH422" s="200">
        <v>73543</v>
      </c>
      <c r="AI422" s="165"/>
      <c r="AJ422" s="166">
        <v>1.5699999999999999E-2</v>
      </c>
      <c r="AK422" s="200"/>
      <c r="AL422" s="377"/>
      <c r="AM422" s="385"/>
    </row>
    <row r="423" spans="1:39">
      <c r="A423" s="377" t="s">
        <v>816</v>
      </c>
      <c r="B423" s="378" t="s">
        <v>817</v>
      </c>
      <c r="C423" s="378" t="s">
        <v>706</v>
      </c>
      <c r="D423" s="121" t="s">
        <v>43</v>
      </c>
      <c r="E423" s="121" t="s">
        <v>44</v>
      </c>
      <c r="F423" s="121" t="s">
        <v>55</v>
      </c>
      <c r="G423" s="121" t="s">
        <v>58</v>
      </c>
      <c r="H423" s="378" t="s">
        <v>1358</v>
      </c>
      <c r="I423" s="378" t="s">
        <v>46</v>
      </c>
      <c r="J423" s="379">
        <v>8136788047.3334808</v>
      </c>
      <c r="K423" s="200"/>
      <c r="L423" s="378"/>
      <c r="M423" s="380">
        <v>0.21098600000000001</v>
      </c>
      <c r="N423" s="380">
        <v>0.24131</v>
      </c>
      <c r="O423" s="381" t="s">
        <v>717</v>
      </c>
      <c r="P423" s="381"/>
      <c r="Q423" s="381"/>
      <c r="R423" s="382" t="s">
        <v>708</v>
      </c>
      <c r="S423" s="383"/>
      <c r="T423" s="384"/>
      <c r="U423" s="200">
        <f t="shared" si="11"/>
        <v>106907027.07601996</v>
      </c>
      <c r="V423" s="379">
        <v>101885742.98630199</v>
      </c>
      <c r="W423" s="379">
        <v>0</v>
      </c>
      <c r="X423" s="200"/>
      <c r="Y423" s="379">
        <v>2161917.9778972822</v>
      </c>
      <c r="Z423" s="200">
        <v>498624.89387942833</v>
      </c>
      <c r="AA423" s="200">
        <v>2034968.3851119902</v>
      </c>
      <c r="AB423" s="200"/>
      <c r="AC423" s="200"/>
      <c r="AD423" s="200">
        <v>0</v>
      </c>
      <c r="AE423" s="200"/>
      <c r="AF423" s="200">
        <v>325772.83282926987</v>
      </c>
      <c r="AG423" s="200"/>
      <c r="AH423" s="200">
        <v>0</v>
      </c>
      <c r="AI423" s="165">
        <v>3.4681900000000003E-3</v>
      </c>
      <c r="AJ423" s="166">
        <v>1.66E-2</v>
      </c>
      <c r="AK423" s="200">
        <v>15965172.035285715</v>
      </c>
      <c r="AL423" s="377"/>
      <c r="AM423" s="385"/>
    </row>
    <row r="424" spans="1:39">
      <c r="A424" s="377" t="s">
        <v>818</v>
      </c>
      <c r="B424" s="378" t="s">
        <v>819</v>
      </c>
      <c r="C424" s="378" t="s">
        <v>706</v>
      </c>
      <c r="D424" s="121" t="s">
        <v>43</v>
      </c>
      <c r="E424" s="121" t="s">
        <v>44</v>
      </c>
      <c r="F424" s="121" t="s">
        <v>55</v>
      </c>
      <c r="G424" s="121" t="s">
        <v>58</v>
      </c>
      <c r="H424" s="378" t="s">
        <v>1358</v>
      </c>
      <c r="I424" s="378" t="s">
        <v>69</v>
      </c>
      <c r="J424" s="379">
        <v>646703.95441295556</v>
      </c>
      <c r="K424" s="200"/>
      <c r="L424" s="378"/>
      <c r="M424" s="380">
        <v>0.18806400000000001</v>
      </c>
      <c r="N424" s="380">
        <v>0.21781400000000001</v>
      </c>
      <c r="O424" s="381" t="s">
        <v>717</v>
      </c>
      <c r="P424" s="381"/>
      <c r="Q424" s="381"/>
      <c r="R424" s="382" t="s">
        <v>708</v>
      </c>
      <c r="S424" s="383"/>
      <c r="T424" s="384"/>
      <c r="U424" s="200">
        <f t="shared" si="11"/>
        <v>8498.6696785755303</v>
      </c>
      <c r="V424" s="379">
        <v>8099.4982114795948</v>
      </c>
      <c r="W424" s="379">
        <v>0</v>
      </c>
      <c r="X424" s="200"/>
      <c r="Y424" s="379">
        <v>171.86360213026867</v>
      </c>
      <c r="Z424" s="200">
        <v>39.638631645632728</v>
      </c>
      <c r="AA424" s="200">
        <v>161.77163077515209</v>
      </c>
      <c r="AB424" s="200"/>
      <c r="AC424" s="200"/>
      <c r="AD424" s="200">
        <v>0</v>
      </c>
      <c r="AE424" s="200"/>
      <c r="AF424" s="200">
        <v>25.897602544882641</v>
      </c>
      <c r="AG424" s="200"/>
      <c r="AH424" s="200">
        <v>0</v>
      </c>
      <c r="AI424" s="165">
        <v>3.4681900000000003E-3</v>
      </c>
      <c r="AJ424" s="166">
        <v>1.66E-2</v>
      </c>
      <c r="AK424" s="200">
        <v>1269.1656217606987</v>
      </c>
      <c r="AL424" s="377"/>
      <c r="AM424" s="385"/>
    </row>
    <row r="425" spans="1:39">
      <c r="A425" s="377" t="s">
        <v>820</v>
      </c>
      <c r="B425" s="378" t="s">
        <v>821</v>
      </c>
      <c r="C425" s="378" t="s">
        <v>706</v>
      </c>
      <c r="D425" s="121" t="s">
        <v>43</v>
      </c>
      <c r="E425" s="121" t="s">
        <v>44</v>
      </c>
      <c r="F425" s="121" t="s">
        <v>1348</v>
      </c>
      <c r="G425" s="121" t="s">
        <v>81</v>
      </c>
      <c r="H425" s="121" t="s">
        <v>45</v>
      </c>
      <c r="I425" s="378" t="s">
        <v>46</v>
      </c>
      <c r="J425" s="379">
        <v>230801813522.00403</v>
      </c>
      <c r="K425" s="200"/>
      <c r="L425" s="378"/>
      <c r="M425" s="380">
        <v>6.1303999999999997E-2</v>
      </c>
      <c r="N425" s="380">
        <v>6.3624E-2</v>
      </c>
      <c r="O425" s="381" t="s">
        <v>734</v>
      </c>
      <c r="P425" s="381"/>
      <c r="Q425" s="381"/>
      <c r="R425" s="382" t="s">
        <v>708</v>
      </c>
      <c r="S425" s="383"/>
      <c r="T425" s="384"/>
      <c r="U425" s="200">
        <f t="shared" si="11"/>
        <v>3605357969.4699998</v>
      </c>
      <c r="V425" s="379">
        <v>3476917576</v>
      </c>
      <c r="W425" s="379">
        <v>0</v>
      </c>
      <c r="X425" s="200"/>
      <c r="Y425" s="379">
        <v>69343912</v>
      </c>
      <c r="Z425" s="200">
        <v>656600</v>
      </c>
      <c r="AA425" s="200">
        <v>57711000</v>
      </c>
      <c r="AB425" s="200"/>
      <c r="AC425" s="200"/>
      <c r="AD425" s="200">
        <v>11000</v>
      </c>
      <c r="AE425" s="200"/>
      <c r="AF425" s="200">
        <v>301593.46999999997</v>
      </c>
      <c r="AG425" s="200"/>
      <c r="AH425" s="200">
        <v>416288</v>
      </c>
      <c r="AI425" s="165"/>
      <c r="AJ425" s="166">
        <v>1.5599999999999999E-2</v>
      </c>
      <c r="AK425" s="200"/>
      <c r="AL425" s="377"/>
      <c r="AM425" s="385"/>
    </row>
    <row r="426" spans="1:39">
      <c r="A426" s="377" t="s">
        <v>822</v>
      </c>
      <c r="B426" s="378" t="s">
        <v>823</v>
      </c>
      <c r="C426" s="378" t="s">
        <v>706</v>
      </c>
      <c r="D426" s="121" t="s">
        <v>43</v>
      </c>
      <c r="E426" s="121" t="s">
        <v>44</v>
      </c>
      <c r="F426" s="121" t="s">
        <v>1348</v>
      </c>
      <c r="G426" s="121" t="s">
        <v>58</v>
      </c>
      <c r="H426" s="378" t="s">
        <v>1360</v>
      </c>
      <c r="I426" s="378" t="s">
        <v>46</v>
      </c>
      <c r="J426" s="379">
        <v>1611636497.0769231</v>
      </c>
      <c r="K426" s="200"/>
      <c r="L426" s="378"/>
      <c r="M426" s="380">
        <v>2.0981E-2</v>
      </c>
      <c r="N426" s="380">
        <v>-1.0102999999999999E-2</v>
      </c>
      <c r="O426" s="381" t="s">
        <v>717</v>
      </c>
      <c r="P426" s="381">
        <v>0.2</v>
      </c>
      <c r="Q426" s="381" t="s">
        <v>108</v>
      </c>
      <c r="R426" s="382" t="s">
        <v>708</v>
      </c>
      <c r="S426" s="383"/>
      <c r="T426" s="384"/>
      <c r="U426" s="200">
        <f t="shared" si="11"/>
        <v>38806633.153638765</v>
      </c>
      <c r="V426" s="379">
        <v>24334273.284558903</v>
      </c>
      <c r="W426" s="379">
        <v>12081163.898354091</v>
      </c>
      <c r="X426" s="200"/>
      <c r="Y426" s="379">
        <v>401211.46627906751</v>
      </c>
      <c r="Z426" s="200">
        <v>74310.149429428653</v>
      </c>
      <c r="AA426" s="200">
        <v>402286.28920306457</v>
      </c>
      <c r="AB426" s="200"/>
      <c r="AC426" s="200"/>
      <c r="AD426" s="200">
        <v>1439922.6741140776</v>
      </c>
      <c r="AE426" s="200"/>
      <c r="AF426" s="200">
        <v>73465.391700142587</v>
      </c>
      <c r="AG426" s="200"/>
      <c r="AH426" s="200">
        <v>0</v>
      </c>
      <c r="AI426" s="165"/>
      <c r="AJ426" s="166">
        <v>1.5599999999999999E-2</v>
      </c>
      <c r="AK426" s="200"/>
      <c r="AL426" s="377"/>
      <c r="AM426" s="385"/>
    </row>
    <row r="427" spans="1:39">
      <c r="A427" s="377" t="s">
        <v>824</v>
      </c>
      <c r="B427" s="378" t="s">
        <v>825</v>
      </c>
      <c r="C427" s="378" t="s">
        <v>706</v>
      </c>
      <c r="D427" s="121" t="s">
        <v>43</v>
      </c>
      <c r="E427" s="121" t="s">
        <v>44</v>
      </c>
      <c r="F427" s="121" t="s">
        <v>1348</v>
      </c>
      <c r="G427" s="121" t="s">
        <v>58</v>
      </c>
      <c r="H427" s="378" t="s">
        <v>1360</v>
      </c>
      <c r="I427" s="378" t="s">
        <v>46</v>
      </c>
      <c r="J427" s="379">
        <v>5255861288.4534416</v>
      </c>
      <c r="K427" s="200"/>
      <c r="L427" s="378"/>
      <c r="M427" s="380">
        <v>2.8228E-2</v>
      </c>
      <c r="N427" s="380">
        <v>-1.0102999999999999E-2</v>
      </c>
      <c r="O427" s="381" t="s">
        <v>798</v>
      </c>
      <c r="P427" s="381">
        <v>0.2</v>
      </c>
      <c r="Q427" s="381" t="s">
        <v>108</v>
      </c>
      <c r="R427" s="382" t="s">
        <v>708</v>
      </c>
      <c r="S427" s="383"/>
      <c r="T427" s="384"/>
      <c r="U427" s="200">
        <f t="shared" si="11"/>
        <v>89195153.271331921</v>
      </c>
      <c r="V427" s="379">
        <v>41997962.014851309</v>
      </c>
      <c r="W427" s="379">
        <v>39399034.315732449</v>
      </c>
      <c r="X427" s="200"/>
      <c r="Y427" s="379">
        <v>1308428.9279402846</v>
      </c>
      <c r="Z427" s="200">
        <v>242339.90632112318</v>
      </c>
      <c r="AA427" s="200">
        <v>1311934.1353542544</v>
      </c>
      <c r="AB427" s="200"/>
      <c r="AC427" s="200"/>
      <c r="AD427" s="200">
        <v>4695868.9847052535</v>
      </c>
      <c r="AE427" s="200"/>
      <c r="AF427" s="200">
        <v>239584.98642725794</v>
      </c>
      <c r="AG427" s="200"/>
      <c r="AH427" s="200">
        <v>0</v>
      </c>
      <c r="AI427" s="165"/>
      <c r="AJ427" s="166">
        <v>8.5000000000000006E-3</v>
      </c>
      <c r="AK427" s="200"/>
      <c r="AL427" s="377"/>
      <c r="AM427" s="385"/>
    </row>
    <row r="428" spans="1:39">
      <c r="A428" s="377" t="s">
        <v>826</v>
      </c>
      <c r="B428" s="378" t="s">
        <v>827</v>
      </c>
      <c r="C428" s="378" t="s">
        <v>706</v>
      </c>
      <c r="D428" s="121" t="s">
        <v>43</v>
      </c>
      <c r="E428" s="121" t="s">
        <v>44</v>
      </c>
      <c r="F428" s="121" t="s">
        <v>1348</v>
      </c>
      <c r="G428" s="121" t="s">
        <v>58</v>
      </c>
      <c r="H428" s="378" t="s">
        <v>1360</v>
      </c>
      <c r="I428" s="378" t="s">
        <v>69</v>
      </c>
      <c r="J428" s="379">
        <v>590824.50554655807</v>
      </c>
      <c r="K428" s="200"/>
      <c r="L428" s="378"/>
      <c r="M428" s="380">
        <v>1.655E-3</v>
      </c>
      <c r="N428" s="380">
        <v>-2.8840000000000001E-2</v>
      </c>
      <c r="O428" s="381" t="s">
        <v>717</v>
      </c>
      <c r="P428" s="381">
        <v>0.2</v>
      </c>
      <c r="Q428" s="381" t="s">
        <v>108</v>
      </c>
      <c r="R428" s="382" t="s">
        <v>708</v>
      </c>
      <c r="S428" s="383"/>
      <c r="T428" s="384"/>
      <c r="U428" s="200">
        <f t="shared" si="11"/>
        <v>14198.295664040908</v>
      </c>
      <c r="V428" s="379">
        <v>8893.7176278768711</v>
      </c>
      <c r="W428" s="379">
        <v>4428.1290160166154</v>
      </c>
      <c r="X428" s="200"/>
      <c r="Y428" s="379">
        <v>147.05670333890205</v>
      </c>
      <c r="Z428" s="200">
        <v>27.237022164546026</v>
      </c>
      <c r="AA428" s="200">
        <v>147.45065996567044</v>
      </c>
      <c r="AB428" s="200"/>
      <c r="AC428" s="200"/>
      <c r="AD428" s="200">
        <v>527.77724296360714</v>
      </c>
      <c r="AE428" s="200"/>
      <c r="AF428" s="200">
        <v>26.92739171469627</v>
      </c>
      <c r="AG428" s="200"/>
      <c r="AH428" s="200">
        <v>0</v>
      </c>
      <c r="AI428" s="165"/>
      <c r="AJ428" s="166">
        <v>1.5599999999999999E-2</v>
      </c>
      <c r="AK428" s="200"/>
      <c r="AL428" s="377"/>
      <c r="AM428" s="385"/>
    </row>
    <row r="429" spans="1:39">
      <c r="A429" s="377" t="s">
        <v>828</v>
      </c>
      <c r="B429" s="378" t="s">
        <v>829</v>
      </c>
      <c r="C429" s="378" t="s">
        <v>706</v>
      </c>
      <c r="D429" s="121" t="s">
        <v>43</v>
      </c>
      <c r="E429" s="121" t="s">
        <v>44</v>
      </c>
      <c r="F429" s="121" t="s">
        <v>1348</v>
      </c>
      <c r="G429" s="121" t="s">
        <v>830</v>
      </c>
      <c r="H429" s="378" t="s">
        <v>1359</v>
      </c>
      <c r="I429" s="378" t="s">
        <v>46</v>
      </c>
      <c r="J429" s="379">
        <v>6271071456.8137655</v>
      </c>
      <c r="K429" s="200"/>
      <c r="L429" s="378"/>
      <c r="M429" s="380">
        <v>4.4717E-2</v>
      </c>
      <c r="N429" s="380">
        <v>-6.3860000000000002E-3</v>
      </c>
      <c r="O429" s="381" t="s">
        <v>717</v>
      </c>
      <c r="P429" s="381">
        <v>0.2</v>
      </c>
      <c r="Q429" s="381" t="s">
        <v>108</v>
      </c>
      <c r="R429" s="382" t="s">
        <v>708</v>
      </c>
      <c r="S429" s="383"/>
      <c r="T429" s="384"/>
      <c r="U429" s="200">
        <f t="shared" si="11"/>
        <v>179556406.09999999</v>
      </c>
      <c r="V429" s="379">
        <v>94669020</v>
      </c>
      <c r="W429" s="379">
        <v>78490030</v>
      </c>
      <c r="X429" s="200"/>
      <c r="Y429" s="379">
        <v>1734993</v>
      </c>
      <c r="Z429" s="200">
        <v>364852</v>
      </c>
      <c r="AA429" s="200">
        <v>1567000</v>
      </c>
      <c r="AB429" s="200"/>
      <c r="AC429" s="200"/>
      <c r="AD429" s="200">
        <v>2255769</v>
      </c>
      <c r="AE429" s="200"/>
      <c r="AF429" s="200">
        <v>405900.1</v>
      </c>
      <c r="AG429" s="200"/>
      <c r="AH429" s="200">
        <v>68842</v>
      </c>
      <c r="AI429" s="165"/>
      <c r="AJ429" s="166">
        <v>1.5699999999999999E-2</v>
      </c>
      <c r="AK429" s="200"/>
      <c r="AL429" s="377"/>
      <c r="AM429" s="385"/>
    </row>
    <row r="430" spans="1:39">
      <c r="A430" s="377" t="s">
        <v>831</v>
      </c>
      <c r="B430" s="378" t="s">
        <v>832</v>
      </c>
      <c r="C430" s="378" t="s">
        <v>706</v>
      </c>
      <c r="D430" s="121" t="s">
        <v>43</v>
      </c>
      <c r="E430" s="121" t="s">
        <v>44</v>
      </c>
      <c r="F430" s="121" t="s">
        <v>1348</v>
      </c>
      <c r="G430" s="121" t="s">
        <v>641</v>
      </c>
      <c r="H430" s="121" t="s">
        <v>45</v>
      </c>
      <c r="I430" s="378" t="s">
        <v>46</v>
      </c>
      <c r="J430" s="379">
        <v>322682724038.78882</v>
      </c>
      <c r="K430" s="200"/>
      <c r="L430" s="378"/>
      <c r="M430" s="380">
        <v>3.0380000000000001E-2</v>
      </c>
      <c r="N430" s="380">
        <v>4.6698000000000003E-2</v>
      </c>
      <c r="O430" s="381" t="s">
        <v>734</v>
      </c>
      <c r="P430" s="381"/>
      <c r="Q430" s="381"/>
      <c r="R430" s="382" t="s">
        <v>708</v>
      </c>
      <c r="S430" s="383"/>
      <c r="T430" s="384"/>
      <c r="U430" s="200">
        <f t="shared" si="11"/>
        <v>5002644067</v>
      </c>
      <c r="V430" s="379">
        <v>4836519649</v>
      </c>
      <c r="W430" s="379">
        <v>0</v>
      </c>
      <c r="X430" s="200"/>
      <c r="Y430" s="379">
        <v>84128090</v>
      </c>
      <c r="Z430" s="200">
        <v>947684</v>
      </c>
      <c r="AA430" s="200">
        <v>80644000</v>
      </c>
      <c r="AB430" s="200"/>
      <c r="AC430" s="200"/>
      <c r="AD430" s="200">
        <v>0</v>
      </c>
      <c r="AE430" s="200"/>
      <c r="AF430" s="200">
        <v>404644</v>
      </c>
      <c r="AG430" s="200"/>
      <c r="AH430" s="200">
        <v>0</v>
      </c>
      <c r="AI430" s="165"/>
      <c r="AJ430" s="166">
        <v>1.55E-2</v>
      </c>
      <c r="AK430" s="200"/>
      <c r="AL430" s="377"/>
      <c r="AM430" s="385"/>
    </row>
    <row r="431" spans="1:39">
      <c r="A431" s="377" t="s">
        <v>833</v>
      </c>
      <c r="B431" s="378" t="s">
        <v>834</v>
      </c>
      <c r="C431" s="378" t="s">
        <v>706</v>
      </c>
      <c r="D431" s="121" t="s">
        <v>43</v>
      </c>
      <c r="E431" s="121" t="s">
        <v>44</v>
      </c>
      <c r="F431" s="121" t="s">
        <v>55</v>
      </c>
      <c r="G431" s="121" t="s">
        <v>58</v>
      </c>
      <c r="H431" s="378" t="s">
        <v>1357</v>
      </c>
      <c r="I431" s="378" t="s">
        <v>46</v>
      </c>
      <c r="J431" s="379">
        <v>1519833498.8426719</v>
      </c>
      <c r="K431" s="200"/>
      <c r="L431" s="378"/>
      <c r="M431" s="380">
        <v>2.0754000000000002E-2</v>
      </c>
      <c r="N431" s="380">
        <v>-4.3723999999999999E-2</v>
      </c>
      <c r="O431" s="381" t="s">
        <v>717</v>
      </c>
      <c r="P431" s="381"/>
      <c r="Q431" s="381"/>
      <c r="R431" s="382" t="s">
        <v>708</v>
      </c>
      <c r="S431" s="383"/>
      <c r="T431" s="384"/>
      <c r="U431" s="200">
        <f t="shared" si="11"/>
        <v>22481230.065361615</v>
      </c>
      <c r="V431" s="379">
        <v>21195340.626723498</v>
      </c>
      <c r="W431" s="379">
        <v>0</v>
      </c>
      <c r="X431" s="200"/>
      <c r="Y431" s="379">
        <v>354915.02434222453</v>
      </c>
      <c r="Z431" s="200">
        <v>248171.87535205486</v>
      </c>
      <c r="AA431" s="200">
        <v>379862.76831536903</v>
      </c>
      <c r="AB431" s="200"/>
      <c r="AC431" s="200"/>
      <c r="AD431" s="200">
        <v>81226.466411327609</v>
      </c>
      <c r="AE431" s="200"/>
      <c r="AF431" s="200">
        <v>221713.30421714578</v>
      </c>
      <c r="AG431" s="200"/>
      <c r="AH431" s="200">
        <v>0</v>
      </c>
      <c r="AI431" s="165"/>
      <c r="AJ431" s="166">
        <v>1.46E-2</v>
      </c>
      <c r="AK431" s="200">
        <v>18105915.876467828</v>
      </c>
      <c r="AL431" s="377"/>
      <c r="AM431" s="385"/>
    </row>
    <row r="432" spans="1:39">
      <c r="A432" s="377" t="s">
        <v>835</v>
      </c>
      <c r="B432" s="378" t="s">
        <v>836</v>
      </c>
      <c r="C432" s="378" t="s">
        <v>706</v>
      </c>
      <c r="D432" s="121" t="s">
        <v>43</v>
      </c>
      <c r="E432" s="121" t="s">
        <v>44</v>
      </c>
      <c r="F432" s="121" t="s">
        <v>55</v>
      </c>
      <c r="G432" s="121" t="s">
        <v>58</v>
      </c>
      <c r="H432" s="378" t="s">
        <v>1357</v>
      </c>
      <c r="I432" s="378" t="s">
        <v>69</v>
      </c>
      <c r="J432" s="379">
        <v>864721.64157894789</v>
      </c>
      <c r="K432" s="200"/>
      <c r="L432" s="378"/>
      <c r="M432" s="380">
        <v>1.4339999999999999E-3</v>
      </c>
      <c r="N432" s="380">
        <v>-6.1824999999999998E-2</v>
      </c>
      <c r="O432" s="381" t="s">
        <v>717</v>
      </c>
      <c r="P432" s="381"/>
      <c r="Q432" s="381"/>
      <c r="R432" s="382" t="s">
        <v>708</v>
      </c>
      <c r="S432" s="383"/>
      <c r="T432" s="384"/>
      <c r="U432" s="200">
        <f t="shared" si="11"/>
        <v>12784.352209744135</v>
      </c>
      <c r="V432" s="379">
        <v>12053.108259188732</v>
      </c>
      <c r="W432" s="379">
        <v>0</v>
      </c>
      <c r="X432" s="200"/>
      <c r="Y432" s="379">
        <v>201.82875503382408</v>
      </c>
      <c r="Z432" s="200">
        <v>141.12736063947904</v>
      </c>
      <c r="AA432" s="200">
        <v>216.01573434340443</v>
      </c>
      <c r="AB432" s="200"/>
      <c r="AC432" s="200"/>
      <c r="AD432" s="200">
        <v>46.190878005173786</v>
      </c>
      <c r="AE432" s="200"/>
      <c r="AF432" s="200">
        <v>126.081222533521</v>
      </c>
      <c r="AG432" s="200"/>
      <c r="AH432" s="200">
        <v>0</v>
      </c>
      <c r="AI432" s="165"/>
      <c r="AJ432" s="166">
        <v>1.46E-2</v>
      </c>
      <c r="AK432" s="200">
        <v>10296.251805251901</v>
      </c>
      <c r="AL432" s="377"/>
      <c r="AM432" s="385"/>
    </row>
    <row r="433" spans="1:39">
      <c r="A433" s="377" t="s">
        <v>837</v>
      </c>
      <c r="B433" s="378" t="s">
        <v>838</v>
      </c>
      <c r="C433" s="378" t="s">
        <v>706</v>
      </c>
      <c r="D433" s="121" t="s">
        <v>43</v>
      </c>
      <c r="E433" s="121" t="s">
        <v>44</v>
      </c>
      <c r="F433" s="121" t="s">
        <v>55</v>
      </c>
      <c r="G433" s="121" t="s">
        <v>830</v>
      </c>
      <c r="H433" s="378" t="s">
        <v>1358</v>
      </c>
      <c r="I433" s="378" t="s">
        <v>69</v>
      </c>
      <c r="J433" s="379">
        <v>2241122.6072874493</v>
      </c>
      <c r="K433" s="200"/>
      <c r="L433" s="378"/>
      <c r="M433" s="380">
        <v>8.7980000000000003E-3</v>
      </c>
      <c r="N433" s="380"/>
      <c r="O433" s="381" t="s">
        <v>839</v>
      </c>
      <c r="P433" s="381"/>
      <c r="Q433" s="381"/>
      <c r="R433" s="382" t="s">
        <v>708</v>
      </c>
      <c r="S433" s="383"/>
      <c r="T433" s="384"/>
      <c r="U433" s="200">
        <f t="shared" si="11"/>
        <v>14706.683944629685</v>
      </c>
      <c r="V433" s="379">
        <v>13447</v>
      </c>
      <c r="W433" s="379">
        <v>0</v>
      </c>
      <c r="X433" s="200"/>
      <c r="Y433" s="379">
        <v>558</v>
      </c>
      <c r="Z433" s="200">
        <v>0</v>
      </c>
      <c r="AA433" s="200">
        <v>560</v>
      </c>
      <c r="AB433" s="200"/>
      <c r="AC433" s="200"/>
      <c r="AD433" s="200">
        <v>0</v>
      </c>
      <c r="AE433" s="200"/>
      <c r="AF433" s="200">
        <v>141.68394462968575</v>
      </c>
      <c r="AG433" s="200"/>
      <c r="AH433" s="200">
        <v>0</v>
      </c>
      <c r="AI433" s="165">
        <v>8.8308055074102602E-3</v>
      </c>
      <c r="AJ433" s="166">
        <v>1.5299999999999999E-2</v>
      </c>
      <c r="AK433" s="200"/>
      <c r="AL433" s="377"/>
      <c r="AM433" s="385"/>
    </row>
    <row r="434" spans="1:39">
      <c r="A434" s="377" t="s">
        <v>840</v>
      </c>
      <c r="B434" s="378" t="s">
        <v>841</v>
      </c>
      <c r="C434" s="378" t="s">
        <v>706</v>
      </c>
      <c r="D434" s="121" t="s">
        <v>43</v>
      </c>
      <c r="E434" s="121" t="s">
        <v>44</v>
      </c>
      <c r="F434" s="121" t="s">
        <v>55</v>
      </c>
      <c r="G434" s="121" t="s">
        <v>830</v>
      </c>
      <c r="H434" s="378" t="s">
        <v>1358</v>
      </c>
      <c r="I434" s="378" t="s">
        <v>46</v>
      </c>
      <c r="J434" s="379">
        <v>1656499297.1983805</v>
      </c>
      <c r="K434" s="200"/>
      <c r="L434" s="378"/>
      <c r="M434" s="380">
        <v>3.5824000000000002E-2</v>
      </c>
      <c r="N434" s="380"/>
      <c r="O434" s="381" t="s">
        <v>839</v>
      </c>
      <c r="P434" s="381"/>
      <c r="Q434" s="381"/>
      <c r="R434" s="382" t="s">
        <v>708</v>
      </c>
      <c r="S434" s="383"/>
      <c r="T434" s="384"/>
      <c r="U434" s="200">
        <f t="shared" si="11"/>
        <v>11181953</v>
      </c>
      <c r="V434" s="379">
        <v>9986702</v>
      </c>
      <c r="W434" s="379">
        <v>0</v>
      </c>
      <c r="X434" s="200"/>
      <c r="Y434" s="379">
        <v>453467</v>
      </c>
      <c r="Z434" s="200">
        <v>239704</v>
      </c>
      <c r="AA434" s="200">
        <v>414000</v>
      </c>
      <c r="AB434" s="200"/>
      <c r="AC434" s="200"/>
      <c r="AD434" s="200">
        <v>0</v>
      </c>
      <c r="AE434" s="200"/>
      <c r="AF434" s="200">
        <v>88080</v>
      </c>
      <c r="AG434" s="200"/>
      <c r="AH434" s="200">
        <v>0</v>
      </c>
      <c r="AI434" s="165"/>
      <c r="AJ434" s="166">
        <v>6.7000000000000002E-3</v>
      </c>
      <c r="AK434" s="200"/>
      <c r="AL434" s="377"/>
      <c r="AM434" s="385"/>
    </row>
    <row r="435" spans="1:39">
      <c r="A435" s="377" t="s">
        <v>842</v>
      </c>
      <c r="B435" s="378" t="s">
        <v>843</v>
      </c>
      <c r="C435" s="378" t="s">
        <v>706</v>
      </c>
      <c r="D435" s="121" t="s">
        <v>43</v>
      </c>
      <c r="E435" s="121" t="s">
        <v>44</v>
      </c>
      <c r="F435" s="121" t="s">
        <v>55</v>
      </c>
      <c r="G435" s="121" t="s">
        <v>88</v>
      </c>
      <c r="H435" s="121" t="s">
        <v>45</v>
      </c>
      <c r="I435" s="378" t="s">
        <v>46</v>
      </c>
      <c r="J435" s="379">
        <v>4456393536.6437244</v>
      </c>
      <c r="K435" s="200"/>
      <c r="L435" s="378"/>
      <c r="M435" s="380">
        <v>4.6449999999999998E-2</v>
      </c>
      <c r="N435" s="380"/>
      <c r="O435" s="381" t="s">
        <v>844</v>
      </c>
      <c r="P435" s="381"/>
      <c r="Q435" s="381"/>
      <c r="R435" s="382" t="s">
        <v>708</v>
      </c>
      <c r="S435" s="383"/>
      <c r="T435" s="384"/>
      <c r="U435" s="200">
        <f t="shared" ref="U435:U451" si="12">SUM(V435:AH435)</f>
        <v>25404696</v>
      </c>
      <c r="V435" s="379">
        <v>22469311</v>
      </c>
      <c r="W435" s="379">
        <v>0</v>
      </c>
      <c r="X435" s="200"/>
      <c r="Y435" s="379">
        <v>1376983</v>
      </c>
      <c r="Z435" s="200">
        <v>351480</v>
      </c>
      <c r="AA435" s="200">
        <v>1115000</v>
      </c>
      <c r="AB435" s="200"/>
      <c r="AC435" s="200"/>
      <c r="AD435" s="200">
        <v>0</v>
      </c>
      <c r="AE435" s="200"/>
      <c r="AF435" s="200">
        <v>91922</v>
      </c>
      <c r="AG435" s="200"/>
      <c r="AH435" s="200">
        <v>0</v>
      </c>
      <c r="AI435" s="165">
        <v>7.0155401364523067E-3</v>
      </c>
      <c r="AJ435" s="166">
        <v>1.2699999999999999E-2</v>
      </c>
      <c r="AK435" s="200"/>
      <c r="AL435" s="377"/>
      <c r="AM435" s="385"/>
    </row>
    <row r="436" spans="1:39">
      <c r="A436" s="377" t="s">
        <v>845</v>
      </c>
      <c r="B436" s="378" t="s">
        <v>846</v>
      </c>
      <c r="C436" s="378" t="s">
        <v>706</v>
      </c>
      <c r="D436" s="121" t="s">
        <v>43</v>
      </c>
      <c r="E436" s="121" t="s">
        <v>44</v>
      </c>
      <c r="F436" s="121" t="s">
        <v>55</v>
      </c>
      <c r="G436" s="121" t="s">
        <v>61</v>
      </c>
      <c r="H436" s="378" t="s">
        <v>1358</v>
      </c>
      <c r="I436" s="378" t="s">
        <v>46</v>
      </c>
      <c r="J436" s="379">
        <v>687808748.15384614</v>
      </c>
      <c r="K436" s="200"/>
      <c r="L436" s="378"/>
      <c r="M436" s="380">
        <v>3.6428000000000002E-2</v>
      </c>
      <c r="N436" s="380"/>
      <c r="O436" s="381" t="s">
        <v>847</v>
      </c>
      <c r="P436" s="381"/>
      <c r="Q436" s="381"/>
      <c r="R436" s="382" t="s">
        <v>708</v>
      </c>
      <c r="S436" s="383"/>
      <c r="T436" s="384"/>
      <c r="U436" s="200">
        <f t="shared" si="12"/>
        <v>5263998</v>
      </c>
      <c r="V436" s="379">
        <v>4827315</v>
      </c>
      <c r="W436" s="379">
        <v>0</v>
      </c>
      <c r="X436" s="200"/>
      <c r="Y436" s="379">
        <v>178853</v>
      </c>
      <c r="Z436" s="200">
        <v>0</v>
      </c>
      <c r="AA436" s="200">
        <v>173000</v>
      </c>
      <c r="AB436" s="200"/>
      <c r="AC436" s="200"/>
      <c r="AD436" s="200">
        <v>0</v>
      </c>
      <c r="AE436" s="200"/>
      <c r="AF436" s="200">
        <v>84830</v>
      </c>
      <c r="AG436" s="200"/>
      <c r="AH436" s="200">
        <v>0</v>
      </c>
      <c r="AI436" s="165">
        <v>4.9035203252854112E-3</v>
      </c>
      <c r="AJ436" s="166">
        <v>1.24E-2</v>
      </c>
      <c r="AK436" s="200"/>
      <c r="AL436" s="377"/>
      <c r="AM436" s="385"/>
    </row>
    <row r="437" spans="1:39">
      <c r="A437" s="377" t="s">
        <v>848</v>
      </c>
      <c r="B437" s="378" t="s">
        <v>849</v>
      </c>
      <c r="C437" s="378" t="s">
        <v>706</v>
      </c>
      <c r="D437" s="121" t="s">
        <v>43</v>
      </c>
      <c r="E437" s="121" t="s">
        <v>44</v>
      </c>
      <c r="F437" s="121" t="s">
        <v>55</v>
      </c>
      <c r="G437" s="121" t="s">
        <v>97</v>
      </c>
      <c r="H437" s="378" t="s">
        <v>1358</v>
      </c>
      <c r="I437" s="378" t="s">
        <v>46</v>
      </c>
      <c r="J437" s="379">
        <v>3726955772.9433198</v>
      </c>
      <c r="K437" s="200"/>
      <c r="L437" s="378"/>
      <c r="M437" s="380">
        <v>6.2483999999999998E-2</v>
      </c>
      <c r="N437" s="380">
        <v>4.6698000000000003E-2</v>
      </c>
      <c r="O437" s="381" t="s">
        <v>847</v>
      </c>
      <c r="P437" s="381"/>
      <c r="Q437" s="381"/>
      <c r="R437" s="382" t="s">
        <v>708</v>
      </c>
      <c r="S437" s="383"/>
      <c r="T437" s="384"/>
      <c r="U437" s="200">
        <f t="shared" si="12"/>
        <v>2871136</v>
      </c>
      <c r="V437" s="379">
        <v>0</v>
      </c>
      <c r="W437" s="379">
        <v>0</v>
      </c>
      <c r="X437" s="200"/>
      <c r="Y437" s="379">
        <v>1492603</v>
      </c>
      <c r="Z437" s="200">
        <v>356818</v>
      </c>
      <c r="AA437" s="200">
        <v>933000</v>
      </c>
      <c r="AB437" s="200"/>
      <c r="AC437" s="200"/>
      <c r="AD437" s="200">
        <v>0</v>
      </c>
      <c r="AE437" s="200"/>
      <c r="AF437" s="200">
        <v>88715</v>
      </c>
      <c r="AG437" s="200"/>
      <c r="AH437" s="200">
        <v>0</v>
      </c>
      <c r="AI437" s="165">
        <v>1.3983753242701352E-2</v>
      </c>
      <c r="AJ437" s="166">
        <v>1.47E-2</v>
      </c>
      <c r="AK437" s="200"/>
      <c r="AL437" s="377"/>
      <c r="AM437" s="377"/>
    </row>
    <row r="438" spans="1:39">
      <c r="A438" s="377" t="s">
        <v>850</v>
      </c>
      <c r="B438" s="378" t="s">
        <v>851</v>
      </c>
      <c r="C438" s="378" t="s">
        <v>706</v>
      </c>
      <c r="D438" s="121" t="s">
        <v>43</v>
      </c>
      <c r="E438" s="121" t="s">
        <v>44</v>
      </c>
      <c r="F438" s="121" t="s">
        <v>1348</v>
      </c>
      <c r="G438" s="121" t="s">
        <v>58</v>
      </c>
      <c r="H438" s="378" t="s">
        <v>1359</v>
      </c>
      <c r="I438" s="378" t="s">
        <v>46</v>
      </c>
      <c r="J438" s="379">
        <v>7241617929.4534416</v>
      </c>
      <c r="K438" s="200"/>
      <c r="L438" s="378"/>
      <c r="M438" s="380">
        <v>-1.5996E-2</v>
      </c>
      <c r="N438" s="380">
        <v>-4.2325000000000002E-2</v>
      </c>
      <c r="O438" s="381" t="s">
        <v>717</v>
      </c>
      <c r="P438" s="381"/>
      <c r="Q438" s="381"/>
      <c r="R438" s="382" t="s">
        <v>708</v>
      </c>
      <c r="S438" s="383"/>
      <c r="T438" s="384"/>
      <c r="U438" s="200">
        <f t="shared" si="12"/>
        <v>151327459.09260356</v>
      </c>
      <c r="V438" s="379">
        <v>144862018.61447349</v>
      </c>
      <c r="W438" s="379">
        <v>0</v>
      </c>
      <c r="X438" s="200"/>
      <c r="Y438" s="379">
        <v>1933048.8053692202</v>
      </c>
      <c r="Z438" s="200">
        <v>227103.12427071985</v>
      </c>
      <c r="AA438" s="200">
        <v>1811360.1306819369</v>
      </c>
      <c r="AB438" s="200"/>
      <c r="AC438" s="200"/>
      <c r="AD438" s="200">
        <v>2361268.2445353447</v>
      </c>
      <c r="AE438" s="200"/>
      <c r="AF438" s="200">
        <v>132660.1732728346</v>
      </c>
      <c r="AG438" s="200"/>
      <c r="AH438" s="200">
        <v>0</v>
      </c>
      <c r="AI438" s="165"/>
      <c r="AJ438" s="166">
        <v>2.06E-2</v>
      </c>
      <c r="AK438" s="200"/>
      <c r="AL438" s="377"/>
      <c r="AM438" s="377"/>
    </row>
    <row r="439" spans="1:39">
      <c r="A439" s="377" t="s">
        <v>852</v>
      </c>
      <c r="B439" s="378" t="s">
        <v>853</v>
      </c>
      <c r="C439" s="378" t="s">
        <v>706</v>
      </c>
      <c r="D439" s="121" t="s">
        <v>43</v>
      </c>
      <c r="E439" s="121" t="s">
        <v>44</v>
      </c>
      <c r="F439" s="121" t="s">
        <v>1348</v>
      </c>
      <c r="G439" s="121" t="s">
        <v>58</v>
      </c>
      <c r="H439" s="378" t="s">
        <v>1359</v>
      </c>
      <c r="I439" s="378" t="s">
        <v>46</v>
      </c>
      <c r="J439" s="379">
        <v>13695330198.178137</v>
      </c>
      <c r="K439" s="200"/>
      <c r="L439" s="378"/>
      <c r="M439" s="380">
        <v>-4.0179999999999999E-3</v>
      </c>
      <c r="N439" s="380">
        <v>-6.0451999999999999E-2</v>
      </c>
      <c r="O439" s="381" t="s">
        <v>798</v>
      </c>
      <c r="P439" s="381"/>
      <c r="Q439" s="381"/>
      <c r="R439" s="382" t="s">
        <v>708</v>
      </c>
      <c r="S439" s="383"/>
      <c r="T439" s="384"/>
      <c r="U439" s="200">
        <f t="shared" si="12"/>
        <v>121902782.67739642</v>
      </c>
      <c r="V439" s="379">
        <v>109675357.38552648</v>
      </c>
      <c r="W439" s="379">
        <v>0</v>
      </c>
      <c r="X439" s="200"/>
      <c r="Y439" s="379">
        <v>3655777.1946307789</v>
      </c>
      <c r="Z439" s="200">
        <v>429496.87572928012</v>
      </c>
      <c r="AA439" s="200">
        <v>3425639.8693180629</v>
      </c>
      <c r="AB439" s="200"/>
      <c r="AC439" s="200"/>
      <c r="AD439" s="200">
        <v>4465624.7554646544</v>
      </c>
      <c r="AE439" s="200"/>
      <c r="AF439" s="200">
        <v>250886.59672716539</v>
      </c>
      <c r="AG439" s="200"/>
      <c r="AH439" s="200">
        <v>0</v>
      </c>
      <c r="AI439" s="165"/>
      <c r="AJ439" s="166">
        <v>8.6E-3</v>
      </c>
      <c r="AK439" s="200"/>
      <c r="AL439" s="377"/>
      <c r="AM439" s="377"/>
    </row>
    <row r="440" spans="1:39">
      <c r="A440" s="377" t="s">
        <v>854</v>
      </c>
      <c r="B440" s="378" t="s">
        <v>432</v>
      </c>
      <c r="C440" s="378" t="s">
        <v>706</v>
      </c>
      <c r="D440" s="121" t="s">
        <v>43</v>
      </c>
      <c r="E440" s="121" t="s">
        <v>44</v>
      </c>
      <c r="F440" s="121" t="s">
        <v>884</v>
      </c>
      <c r="G440" s="121" t="s">
        <v>97</v>
      </c>
      <c r="H440" s="378" t="s">
        <v>1358</v>
      </c>
      <c r="I440" s="378" t="s">
        <v>46</v>
      </c>
      <c r="J440" s="379">
        <v>61668822109.149193</v>
      </c>
      <c r="K440" s="200"/>
      <c r="L440" s="378"/>
      <c r="M440" s="380">
        <v>8.1190999999999999E-2</v>
      </c>
      <c r="N440" s="380">
        <v>4.6698000000000003E-2</v>
      </c>
      <c r="O440" s="381" t="s">
        <v>717</v>
      </c>
      <c r="P440" s="381">
        <v>0.2</v>
      </c>
      <c r="Q440" s="381" t="s">
        <v>108</v>
      </c>
      <c r="R440" s="382" t="s">
        <v>708</v>
      </c>
      <c r="S440" s="383"/>
      <c r="T440" s="384"/>
      <c r="U440" s="200">
        <f t="shared" si="12"/>
        <v>1580087926.5899999</v>
      </c>
      <c r="V440" s="379">
        <v>1248271080</v>
      </c>
      <c r="W440" s="379">
        <v>295620723</v>
      </c>
      <c r="X440" s="200"/>
      <c r="Y440" s="379">
        <v>19654085</v>
      </c>
      <c r="Z440" s="200">
        <v>656600</v>
      </c>
      <c r="AA440" s="200">
        <v>15445000</v>
      </c>
      <c r="AB440" s="200"/>
      <c r="AC440" s="200"/>
      <c r="AD440" s="200">
        <v>0</v>
      </c>
      <c r="AE440" s="200"/>
      <c r="AF440" s="200">
        <v>400616.59</v>
      </c>
      <c r="AG440" s="200"/>
      <c r="AH440" s="200">
        <v>39822</v>
      </c>
      <c r="AI440" s="165"/>
      <c r="AJ440" s="166">
        <v>2.0799999999999999E-2</v>
      </c>
      <c r="AK440" s="200"/>
      <c r="AL440" s="377"/>
      <c r="AM440" s="377"/>
    </row>
    <row r="441" spans="1:39">
      <c r="A441" s="377" t="s">
        <v>855</v>
      </c>
      <c r="B441" s="378" t="s">
        <v>856</v>
      </c>
      <c r="C441" s="378" t="s">
        <v>706</v>
      </c>
      <c r="D441" s="121" t="s">
        <v>553</v>
      </c>
      <c r="E441" s="268" t="s">
        <v>621</v>
      </c>
      <c r="F441" s="121" t="s">
        <v>1348</v>
      </c>
      <c r="G441" s="121" t="s">
        <v>622</v>
      </c>
      <c r="H441" s="378" t="s">
        <v>1358</v>
      </c>
      <c r="I441" s="378" t="s">
        <v>46</v>
      </c>
      <c r="J441" s="379">
        <v>2392882430.6275306</v>
      </c>
      <c r="K441" s="200"/>
      <c r="L441" s="378"/>
      <c r="M441" s="380">
        <v>8.1243999999999997E-2</v>
      </c>
      <c r="N441" s="380"/>
      <c r="O441" s="381" t="s">
        <v>727</v>
      </c>
      <c r="P441" s="381"/>
      <c r="Q441" s="381"/>
      <c r="R441" s="382">
        <v>0</v>
      </c>
      <c r="S441" s="383" t="s">
        <v>728</v>
      </c>
      <c r="T441" s="384"/>
      <c r="U441" s="200">
        <f t="shared" si="12"/>
        <v>12702526.66</v>
      </c>
      <c r="V441" s="379">
        <v>11971983</v>
      </c>
      <c r="W441" s="379">
        <v>0</v>
      </c>
      <c r="X441" s="200"/>
      <c r="Y441" s="379">
        <v>0</v>
      </c>
      <c r="Z441" s="200">
        <v>0</v>
      </c>
      <c r="AA441" s="200">
        <v>598000</v>
      </c>
      <c r="AB441" s="200"/>
      <c r="AC441" s="200"/>
      <c r="AD441" s="200">
        <v>0</v>
      </c>
      <c r="AE441" s="200"/>
      <c r="AF441" s="200">
        <v>132543.66</v>
      </c>
      <c r="AG441" s="200"/>
      <c r="AH441" s="200">
        <v>0</v>
      </c>
      <c r="AI441" s="165"/>
      <c r="AJ441" s="166">
        <v>5.3E-3</v>
      </c>
      <c r="AK441" s="200"/>
      <c r="AL441" s="377"/>
      <c r="AM441" s="377"/>
    </row>
    <row r="442" spans="1:39">
      <c r="A442" s="377" t="s">
        <v>857</v>
      </c>
      <c r="B442" s="378" t="s">
        <v>858</v>
      </c>
      <c r="C442" s="378" t="s">
        <v>706</v>
      </c>
      <c r="D442" s="121" t="s">
        <v>43</v>
      </c>
      <c r="E442" s="121" t="s">
        <v>44</v>
      </c>
      <c r="F442" s="121" t="s">
        <v>1348</v>
      </c>
      <c r="G442" s="121" t="s">
        <v>58</v>
      </c>
      <c r="H442" s="378" t="s">
        <v>1361</v>
      </c>
      <c r="I442" s="378" t="s">
        <v>46</v>
      </c>
      <c r="J442" s="379">
        <v>1050968418.6639004</v>
      </c>
      <c r="K442" s="200"/>
      <c r="L442" s="378"/>
      <c r="M442" s="380">
        <v>-0.27697300000000002</v>
      </c>
      <c r="N442" s="380">
        <v>-0.27904899999999999</v>
      </c>
      <c r="O442" s="381" t="s">
        <v>813</v>
      </c>
      <c r="P442" s="381">
        <v>0.2</v>
      </c>
      <c r="Q442" s="381" t="s">
        <v>108</v>
      </c>
      <c r="R442" s="382" t="s">
        <v>708</v>
      </c>
      <c r="S442" s="383"/>
      <c r="T442" s="384"/>
      <c r="U442" s="200">
        <f t="shared" si="12"/>
        <v>19775171.714251351</v>
      </c>
      <c r="V442" s="379">
        <v>15850814.585231468</v>
      </c>
      <c r="W442" s="379">
        <v>1890902.3184911655</v>
      </c>
      <c r="X442" s="200"/>
      <c r="Y442" s="379">
        <v>184250.96858614878</v>
      </c>
      <c r="Z442" s="200">
        <v>98151.243716411918</v>
      </c>
      <c r="AA442" s="200">
        <v>262840.18343245191</v>
      </c>
      <c r="AB442" s="200"/>
      <c r="AC442" s="200"/>
      <c r="AD442" s="200">
        <v>1382161.9026363844</v>
      </c>
      <c r="AE442" s="200"/>
      <c r="AF442" s="200">
        <v>106050.5121573201</v>
      </c>
      <c r="AG442" s="200"/>
      <c r="AH442" s="200">
        <v>0</v>
      </c>
      <c r="AI442" s="165"/>
      <c r="AJ442" s="166">
        <v>1.5599999999999999E-2</v>
      </c>
      <c r="AK442" s="200"/>
      <c r="AL442" s="377"/>
      <c r="AM442" s="377"/>
    </row>
    <row r="443" spans="1:39">
      <c r="A443" s="377" t="s">
        <v>859</v>
      </c>
      <c r="B443" s="378" t="s">
        <v>860</v>
      </c>
      <c r="C443" s="378" t="s">
        <v>706</v>
      </c>
      <c r="D443" s="121" t="s">
        <v>43</v>
      </c>
      <c r="E443" s="121" t="s">
        <v>44</v>
      </c>
      <c r="F443" s="121" t="s">
        <v>1348</v>
      </c>
      <c r="G443" s="121" t="s">
        <v>58</v>
      </c>
      <c r="H443" s="378" t="s">
        <v>1361</v>
      </c>
      <c r="I443" s="378" t="s">
        <v>46</v>
      </c>
      <c r="J443" s="379">
        <v>1442611198.9253111</v>
      </c>
      <c r="K443" s="200"/>
      <c r="L443" s="378"/>
      <c r="M443" s="380">
        <v>-0.27182200000000001</v>
      </c>
      <c r="N443" s="380">
        <v>-0.27904899999999999</v>
      </c>
      <c r="O443" s="381" t="s">
        <v>798</v>
      </c>
      <c r="P443" s="381">
        <v>0.2</v>
      </c>
      <c r="Q443" s="381" t="s">
        <v>108</v>
      </c>
      <c r="R443" s="382" t="s">
        <v>708</v>
      </c>
      <c r="S443" s="383"/>
      <c r="T443" s="384"/>
      <c r="U443" s="200">
        <f t="shared" si="12"/>
        <v>16896019.545243859</v>
      </c>
      <c r="V443" s="379">
        <v>11509252.976079278</v>
      </c>
      <c r="W443" s="379">
        <v>2595545.986241051</v>
      </c>
      <c r="X443" s="200"/>
      <c r="Y443" s="379">
        <v>252911.98667332891</v>
      </c>
      <c r="Z443" s="200">
        <v>134727.24856352239</v>
      </c>
      <c r="AA443" s="200">
        <v>360787.42749404983</v>
      </c>
      <c r="AB443" s="200"/>
      <c r="AC443" s="200"/>
      <c r="AD443" s="200">
        <v>1897223.7453205716</v>
      </c>
      <c r="AE443" s="200"/>
      <c r="AF443" s="200">
        <v>145570.17487205856</v>
      </c>
      <c r="AG443" s="200"/>
      <c r="AH443" s="200">
        <v>0</v>
      </c>
      <c r="AI443" s="165"/>
      <c r="AJ443" s="166">
        <v>8.5000000000000006E-3</v>
      </c>
      <c r="AK443" s="200"/>
      <c r="AL443" s="377"/>
      <c r="AM443" s="377"/>
    </row>
    <row r="444" spans="1:39">
      <c r="A444" s="377" t="s">
        <v>861</v>
      </c>
      <c r="B444" s="378" t="s">
        <v>862</v>
      </c>
      <c r="C444" s="378" t="s">
        <v>706</v>
      </c>
      <c r="D444" s="121" t="s">
        <v>43</v>
      </c>
      <c r="E444" s="121" t="s">
        <v>44</v>
      </c>
      <c r="F444" s="121" t="s">
        <v>1348</v>
      </c>
      <c r="G444" s="121" t="s">
        <v>58</v>
      </c>
      <c r="H444" s="378" t="s">
        <v>1361</v>
      </c>
      <c r="I444" s="378" t="s">
        <v>69</v>
      </c>
      <c r="J444" s="379">
        <v>557229.20360995876</v>
      </c>
      <c r="K444" s="200"/>
      <c r="L444" s="378"/>
      <c r="M444" s="380">
        <v>-0.290659</v>
      </c>
      <c r="N444" s="380">
        <v>-0.29269600000000001</v>
      </c>
      <c r="O444" s="381" t="s">
        <v>813</v>
      </c>
      <c r="P444" s="381">
        <v>0.2</v>
      </c>
      <c r="Q444" s="381" t="s">
        <v>108</v>
      </c>
      <c r="R444" s="382" t="s">
        <v>708</v>
      </c>
      <c r="S444" s="383"/>
      <c r="T444" s="384"/>
      <c r="U444" s="200">
        <f t="shared" si="12"/>
        <v>10455.223199594655</v>
      </c>
      <c r="V444" s="379">
        <v>8374.7480329200171</v>
      </c>
      <c r="W444" s="379">
        <v>1002.4508949854134</v>
      </c>
      <c r="X444" s="200"/>
      <c r="Y444" s="379">
        <v>97.679582152343258</v>
      </c>
      <c r="Z444" s="200">
        <v>52.034312478901455</v>
      </c>
      <c r="AA444" s="200">
        <v>139.34319850548255</v>
      </c>
      <c r="AB444" s="200"/>
      <c r="AC444" s="200"/>
      <c r="AD444" s="200">
        <v>732.74511473346547</v>
      </c>
      <c r="AE444" s="200"/>
      <c r="AF444" s="200">
        <v>56.222063819032591</v>
      </c>
      <c r="AG444" s="200"/>
      <c r="AH444" s="200">
        <v>0</v>
      </c>
      <c r="AI444" s="165"/>
      <c r="AJ444" s="166">
        <v>1.55E-2</v>
      </c>
      <c r="AK444" s="200"/>
      <c r="AL444" s="377"/>
      <c r="AM444" s="377"/>
    </row>
    <row r="445" spans="1:39">
      <c r="A445" s="377" t="s">
        <v>863</v>
      </c>
      <c r="B445" s="378" t="s">
        <v>864</v>
      </c>
      <c r="C445" s="378" t="s">
        <v>706</v>
      </c>
      <c r="D445" s="121" t="s">
        <v>43</v>
      </c>
      <c r="E445" s="121" t="s">
        <v>44</v>
      </c>
      <c r="F445" s="121" t="s">
        <v>1348</v>
      </c>
      <c r="G445" s="121" t="s">
        <v>58</v>
      </c>
      <c r="H445" s="378" t="s">
        <v>1358</v>
      </c>
      <c r="I445" s="378" t="s">
        <v>46</v>
      </c>
      <c r="J445" s="379">
        <v>251213710.22267208</v>
      </c>
      <c r="K445" s="200"/>
      <c r="L445" s="378"/>
      <c r="M445" s="380">
        <v>0.32259700000000002</v>
      </c>
      <c r="N445" s="380">
        <v>0.20311100000000001</v>
      </c>
      <c r="O445" s="381" t="s">
        <v>734</v>
      </c>
      <c r="P445" s="381">
        <v>0.2</v>
      </c>
      <c r="Q445" s="381" t="s">
        <v>108</v>
      </c>
      <c r="R445" s="382" t="s">
        <v>708</v>
      </c>
      <c r="S445" s="383"/>
      <c r="T445" s="384"/>
      <c r="U445" s="200">
        <f t="shared" si="12"/>
        <v>13456720.317022037</v>
      </c>
      <c r="V445" s="379">
        <v>4108694.1956594</v>
      </c>
      <c r="W445" s="379">
        <v>8920823.4341856632</v>
      </c>
      <c r="X445" s="200"/>
      <c r="Y445" s="379">
        <v>78095.840666874981</v>
      </c>
      <c r="Z445" s="200">
        <v>0</v>
      </c>
      <c r="AA445" s="200">
        <v>63768.777710361595</v>
      </c>
      <c r="AB445" s="200"/>
      <c r="AC445" s="200"/>
      <c r="AD445" s="200">
        <v>230279.12506649105</v>
      </c>
      <c r="AE445" s="200"/>
      <c r="AF445" s="200">
        <v>55058.943733244829</v>
      </c>
      <c r="AG445" s="200"/>
      <c r="AH445" s="200">
        <v>0</v>
      </c>
      <c r="AI445" s="165"/>
      <c r="AJ445" s="166">
        <v>1.6899999999999998E-2</v>
      </c>
      <c r="AK445" s="200"/>
      <c r="AL445" s="377"/>
      <c r="AM445" s="377"/>
    </row>
    <row r="446" spans="1:39">
      <c r="A446" s="377" t="s">
        <v>865</v>
      </c>
      <c r="B446" s="378" t="s">
        <v>866</v>
      </c>
      <c r="C446" s="378" t="s">
        <v>706</v>
      </c>
      <c r="D446" s="121" t="s">
        <v>43</v>
      </c>
      <c r="E446" s="121" t="s">
        <v>44</v>
      </c>
      <c r="F446" s="121" t="s">
        <v>1348</v>
      </c>
      <c r="G446" s="121" t="s">
        <v>58</v>
      </c>
      <c r="H446" s="378" t="s">
        <v>1358</v>
      </c>
      <c r="I446" s="378" t="s">
        <v>46</v>
      </c>
      <c r="J446" s="379">
        <v>721829660.72874498</v>
      </c>
      <c r="K446" s="200"/>
      <c r="L446" s="378"/>
      <c r="M446" s="380">
        <v>0.34320699999999998</v>
      </c>
      <c r="N446" s="380">
        <v>0.180338</v>
      </c>
      <c r="O446" s="381" t="s">
        <v>798</v>
      </c>
      <c r="P446" s="381">
        <v>0.2</v>
      </c>
      <c r="Q446" s="381" t="s">
        <v>108</v>
      </c>
      <c r="R446" s="382" t="s">
        <v>708</v>
      </c>
      <c r="S446" s="383"/>
      <c r="T446" s="384"/>
      <c r="U446" s="200">
        <f t="shared" si="12"/>
        <v>26860327.478486717</v>
      </c>
      <c r="V446" s="379">
        <v>0</v>
      </c>
      <c r="W446" s="379">
        <v>25632816.565670572</v>
      </c>
      <c r="X446" s="200"/>
      <c r="Y446" s="379">
        <v>224398.15933186645</v>
      </c>
      <c r="Z446" s="200">
        <v>0</v>
      </c>
      <c r="AA446" s="200">
        <v>183231.2222886107</v>
      </c>
      <c r="AB446" s="200"/>
      <c r="AC446" s="200"/>
      <c r="AD446" s="200">
        <v>661676.87492979784</v>
      </c>
      <c r="AE446" s="200"/>
      <c r="AF446" s="200">
        <v>158204.65626586787</v>
      </c>
      <c r="AG446" s="200"/>
      <c r="AH446" s="200">
        <v>0</v>
      </c>
      <c r="AI446" s="165"/>
      <c r="AJ446" s="166">
        <v>5.9999999999999995E-4</v>
      </c>
      <c r="AK446" s="200"/>
      <c r="AL446" s="377"/>
      <c r="AM446" s="377"/>
    </row>
    <row r="447" spans="1:39">
      <c r="A447" s="377" t="s">
        <v>867</v>
      </c>
      <c r="B447" s="378" t="s">
        <v>868</v>
      </c>
      <c r="C447" s="378" t="s">
        <v>706</v>
      </c>
      <c r="D447" s="121" t="s">
        <v>553</v>
      </c>
      <c r="E447" s="268" t="s">
        <v>621</v>
      </c>
      <c r="F447" s="121" t="s">
        <v>1348</v>
      </c>
      <c r="G447" s="121" t="s">
        <v>622</v>
      </c>
      <c r="H447" s="378" t="s">
        <v>1358</v>
      </c>
      <c r="I447" s="378" t="s">
        <v>46</v>
      </c>
      <c r="J447" s="379">
        <v>2852078394.7975707</v>
      </c>
      <c r="K447" s="200"/>
      <c r="L447" s="378"/>
      <c r="M447" s="380">
        <v>5.2303000000000002E-2</v>
      </c>
      <c r="N447" s="380"/>
      <c r="O447" s="381" t="s">
        <v>727</v>
      </c>
      <c r="P447" s="381"/>
      <c r="Q447" s="381"/>
      <c r="R447" s="382">
        <v>0</v>
      </c>
      <c r="S447" s="383" t="s">
        <v>728</v>
      </c>
      <c r="T447" s="384"/>
      <c r="U447" s="200">
        <f t="shared" si="12"/>
        <v>57920007.740000002</v>
      </c>
      <c r="V447" s="379">
        <v>57066939</v>
      </c>
      <c r="W447" s="379">
        <v>0</v>
      </c>
      <c r="X447" s="200"/>
      <c r="Y447" s="379">
        <v>0</v>
      </c>
      <c r="Z447" s="200">
        <v>0</v>
      </c>
      <c r="AA447" s="200">
        <v>713000</v>
      </c>
      <c r="AB447" s="200"/>
      <c r="AC447" s="200"/>
      <c r="AD447" s="200">
        <v>0</v>
      </c>
      <c r="AE447" s="200"/>
      <c r="AF447" s="200">
        <v>140068.74</v>
      </c>
      <c r="AG447" s="200"/>
      <c r="AH447" s="200">
        <v>0</v>
      </c>
      <c r="AI447" s="165"/>
      <c r="AJ447" s="166">
        <v>2.0299999999999999E-2</v>
      </c>
      <c r="AK447" s="200"/>
      <c r="AL447" s="377"/>
      <c r="AM447" s="377"/>
    </row>
    <row r="448" spans="1:39">
      <c r="A448" s="377" t="s">
        <v>869</v>
      </c>
      <c r="B448" s="378" t="s">
        <v>870</v>
      </c>
      <c r="C448" s="378" t="s">
        <v>706</v>
      </c>
      <c r="D448" s="121" t="s">
        <v>553</v>
      </c>
      <c r="E448" s="268" t="s">
        <v>621</v>
      </c>
      <c r="F448" s="121" t="s">
        <v>1348</v>
      </c>
      <c r="G448" s="121" t="s">
        <v>622</v>
      </c>
      <c r="H448" s="378" t="s">
        <v>1358</v>
      </c>
      <c r="I448" s="378" t="s">
        <v>46</v>
      </c>
      <c r="J448" s="379">
        <v>3927435684.7044535</v>
      </c>
      <c r="K448" s="200"/>
      <c r="L448" s="378"/>
      <c r="M448" s="380">
        <v>2.5871999999999999E-2</v>
      </c>
      <c r="N448" s="380"/>
      <c r="O448" s="381" t="s">
        <v>727</v>
      </c>
      <c r="P448" s="381"/>
      <c r="Q448" s="381"/>
      <c r="R448" s="382">
        <v>0</v>
      </c>
      <c r="S448" s="383" t="s">
        <v>728</v>
      </c>
      <c r="T448" s="384"/>
      <c r="U448" s="200">
        <f t="shared" si="12"/>
        <v>73800783.180000007</v>
      </c>
      <c r="V448" s="379">
        <v>72679035</v>
      </c>
      <c r="W448" s="379">
        <v>0</v>
      </c>
      <c r="X448" s="200"/>
      <c r="Y448" s="379">
        <v>0</v>
      </c>
      <c r="Z448" s="200">
        <v>0</v>
      </c>
      <c r="AA448" s="200">
        <v>982000</v>
      </c>
      <c r="AB448" s="200"/>
      <c r="AC448" s="200"/>
      <c r="AD448" s="200">
        <v>0</v>
      </c>
      <c r="AE448" s="200"/>
      <c r="AF448" s="200">
        <v>139748.18</v>
      </c>
      <c r="AG448" s="200"/>
      <c r="AH448" s="200">
        <v>0</v>
      </c>
      <c r="AI448" s="165"/>
      <c r="AJ448" s="166">
        <v>1.8800000000000001E-2</v>
      </c>
      <c r="AK448" s="200"/>
      <c r="AL448" s="377"/>
      <c r="AM448" s="377"/>
    </row>
    <row r="449" spans="1:39">
      <c r="A449" s="377" t="s">
        <v>871</v>
      </c>
      <c r="B449" s="378" t="s">
        <v>872</v>
      </c>
      <c r="C449" s="378" t="s">
        <v>706</v>
      </c>
      <c r="D449" s="121" t="s">
        <v>43</v>
      </c>
      <c r="E449" s="121" t="s">
        <v>44</v>
      </c>
      <c r="F449" s="121" t="s">
        <v>1348</v>
      </c>
      <c r="G449" s="121" t="s">
        <v>97</v>
      </c>
      <c r="H449" s="378" t="s">
        <v>1357</v>
      </c>
      <c r="I449" s="378" t="s">
        <v>46</v>
      </c>
      <c r="J449" s="379">
        <v>3602025978.6114993</v>
      </c>
      <c r="K449" s="200"/>
      <c r="L449" s="378"/>
      <c r="M449" s="380">
        <v>0.10920299999999999</v>
      </c>
      <c r="N449" s="380">
        <v>4.6698000000000003E-2</v>
      </c>
      <c r="O449" s="381" t="s">
        <v>717</v>
      </c>
      <c r="P449" s="381">
        <v>0.2</v>
      </c>
      <c r="Q449" s="381" t="s">
        <v>108</v>
      </c>
      <c r="R449" s="382" t="s">
        <v>708</v>
      </c>
      <c r="S449" s="383"/>
      <c r="T449" s="384"/>
      <c r="U449" s="200">
        <f t="shared" si="12"/>
        <v>107503087.06425868</v>
      </c>
      <c r="V449" s="379">
        <v>54747617.728585988</v>
      </c>
      <c r="W449" s="379">
        <v>48824401.010108441</v>
      </c>
      <c r="X449" s="200"/>
      <c r="Y449" s="379">
        <v>1099339.7042834584</v>
      </c>
      <c r="Z449" s="200">
        <v>344513.40770565206</v>
      </c>
      <c r="AA449" s="200">
        <v>899875.23034952919</v>
      </c>
      <c r="AB449" s="200"/>
      <c r="AC449" s="200"/>
      <c r="AD449" s="200">
        <v>1197930.3366822249</v>
      </c>
      <c r="AE449" s="200"/>
      <c r="AF449" s="200">
        <v>389409.64654339023</v>
      </c>
      <c r="AG449" s="200"/>
      <c r="AH449" s="200">
        <v>0</v>
      </c>
      <c r="AI449" s="165"/>
      <c r="AJ449" s="166">
        <v>1.5800000000000002E-2</v>
      </c>
      <c r="AK449" s="200"/>
      <c r="AL449" s="377"/>
      <c r="AM449" s="377"/>
    </row>
    <row r="450" spans="1:39">
      <c r="A450" s="377" t="s">
        <v>873</v>
      </c>
      <c r="B450" s="378" t="s">
        <v>874</v>
      </c>
      <c r="C450" s="378" t="s">
        <v>706</v>
      </c>
      <c r="D450" s="121" t="s">
        <v>43</v>
      </c>
      <c r="E450" s="121" t="s">
        <v>44</v>
      </c>
      <c r="F450" s="121" t="s">
        <v>1348</v>
      </c>
      <c r="G450" s="121" t="s">
        <v>97</v>
      </c>
      <c r="H450" s="378" t="s">
        <v>1357</v>
      </c>
      <c r="I450" s="378" t="s">
        <v>69</v>
      </c>
      <c r="J450" s="379">
        <v>716443.80295546539</v>
      </c>
      <c r="K450" s="200"/>
      <c r="L450" s="378"/>
      <c r="M450" s="380">
        <v>8.8207999999999995E-2</v>
      </c>
      <c r="N450" s="380">
        <v>2.6886E-2</v>
      </c>
      <c r="O450" s="381" t="s">
        <v>717</v>
      </c>
      <c r="P450" s="381">
        <v>0.2</v>
      </c>
      <c r="Q450" s="381" t="s">
        <v>108</v>
      </c>
      <c r="R450" s="382" t="s">
        <v>708</v>
      </c>
      <c r="S450" s="383"/>
      <c r="T450" s="384"/>
      <c r="U450" s="200">
        <f t="shared" si="12"/>
        <v>21375.233773917334</v>
      </c>
      <c r="V450" s="379">
        <v>10885.669979077791</v>
      </c>
      <c r="W450" s="379">
        <v>9707.9350366816416</v>
      </c>
      <c r="X450" s="200"/>
      <c r="Y450" s="379">
        <v>218.58575244413254</v>
      </c>
      <c r="Z450" s="200">
        <v>68.50086661749009</v>
      </c>
      <c r="AA450" s="200">
        <v>178.92549824714692</v>
      </c>
      <c r="AB450" s="200"/>
      <c r="AC450" s="200"/>
      <c r="AD450" s="200">
        <v>238.1888901120054</v>
      </c>
      <c r="AE450" s="200"/>
      <c r="AF450" s="200">
        <v>77.427750737130765</v>
      </c>
      <c r="AG450" s="200"/>
      <c r="AH450" s="200">
        <v>0</v>
      </c>
      <c r="AI450" s="165"/>
      <c r="AJ450" s="166">
        <v>1.5800000000000002E-2</v>
      </c>
      <c r="AK450" s="200"/>
      <c r="AL450" s="377"/>
      <c r="AM450" s="377"/>
    </row>
    <row r="451" spans="1:39">
      <c r="A451" s="377" t="s">
        <v>875</v>
      </c>
      <c r="B451" s="378" t="s">
        <v>876</v>
      </c>
      <c r="C451" s="378" t="s">
        <v>706</v>
      </c>
      <c r="D451" s="121" t="s">
        <v>553</v>
      </c>
      <c r="E451" s="268" t="s">
        <v>621</v>
      </c>
      <c r="F451" s="121" t="s">
        <v>1348</v>
      </c>
      <c r="G451" s="121" t="s">
        <v>622</v>
      </c>
      <c r="H451" s="378" t="s">
        <v>1358</v>
      </c>
      <c r="I451" s="378" t="s">
        <v>46</v>
      </c>
      <c r="J451" s="379">
        <v>3272313341.1538463</v>
      </c>
      <c r="K451" s="200"/>
      <c r="L451" s="378"/>
      <c r="M451" s="380">
        <v>0.25017699999999998</v>
      </c>
      <c r="N451" s="380"/>
      <c r="O451" s="381" t="s">
        <v>727</v>
      </c>
      <c r="P451" s="381"/>
      <c r="Q451" s="381"/>
      <c r="R451" s="382">
        <v>0</v>
      </c>
      <c r="S451" s="383" t="s">
        <v>728</v>
      </c>
      <c r="T451" s="384"/>
      <c r="U451" s="200">
        <f t="shared" si="12"/>
        <v>56706589.670000002</v>
      </c>
      <c r="V451" s="379">
        <v>55757624</v>
      </c>
      <c r="W451" s="379">
        <v>0</v>
      </c>
      <c r="X451" s="200"/>
      <c r="Y451" s="379">
        <v>0</v>
      </c>
      <c r="Z451" s="200">
        <v>0</v>
      </c>
      <c r="AA451" s="200">
        <v>818000</v>
      </c>
      <c r="AB451" s="200"/>
      <c r="AC451" s="200"/>
      <c r="AD451" s="200">
        <v>0</v>
      </c>
      <c r="AE451" s="200"/>
      <c r="AF451" s="200">
        <v>130965.67</v>
      </c>
      <c r="AG451" s="200"/>
      <c r="AH451" s="200">
        <v>0</v>
      </c>
      <c r="AI451" s="165"/>
      <c r="AJ451" s="166">
        <v>1.7299999999999999E-2</v>
      </c>
      <c r="AK451" s="200"/>
      <c r="AL451" s="377"/>
      <c r="AM451" s="377"/>
    </row>
    <row r="452" spans="1:39">
      <c r="A452" s="391" t="s">
        <v>877</v>
      </c>
      <c r="B452" s="392" t="s">
        <v>878</v>
      </c>
      <c r="C452" s="392" t="s">
        <v>879</v>
      </c>
      <c r="D452" s="121" t="s">
        <v>43</v>
      </c>
      <c r="E452" s="121" t="s">
        <v>44</v>
      </c>
      <c r="F452" s="121" t="s">
        <v>55</v>
      </c>
      <c r="G452" s="121" t="s">
        <v>81</v>
      </c>
      <c r="H452" s="121" t="s">
        <v>45</v>
      </c>
      <c r="I452" s="392" t="s">
        <v>46</v>
      </c>
      <c r="J452" s="177">
        <v>228844892.95616439</v>
      </c>
      <c r="M452" s="123">
        <v>4.9058960000000006E-2</v>
      </c>
      <c r="N452" s="123">
        <v>5.7070378000000005E-2</v>
      </c>
      <c r="O452" s="229" t="s">
        <v>880</v>
      </c>
      <c r="R452" s="123" t="s">
        <v>881</v>
      </c>
      <c r="S452" s="123">
        <v>2.5000000000000001E-4</v>
      </c>
      <c r="T452" s="123">
        <v>0.03</v>
      </c>
      <c r="U452" s="177">
        <v>2660165.5099999998</v>
      </c>
      <c r="V452" s="177">
        <v>1603335</v>
      </c>
      <c r="W452" s="177">
        <v>0</v>
      </c>
      <c r="Y452" s="177">
        <v>137427</v>
      </c>
      <c r="Z452" s="177">
        <v>824547</v>
      </c>
      <c r="AA452" s="177">
        <v>57000</v>
      </c>
      <c r="AD452" s="177">
        <v>16500</v>
      </c>
      <c r="AF452" s="177">
        <v>21356.51</v>
      </c>
      <c r="AG452" s="177">
        <v>0</v>
      </c>
      <c r="AH452" s="177">
        <v>0</v>
      </c>
      <c r="AI452" s="123">
        <v>5.8741246244218403E-3</v>
      </c>
      <c r="AJ452" s="123">
        <v>1.7500000000000002E-2</v>
      </c>
    </row>
    <row r="453" spans="1:39">
      <c r="A453" s="391" t="s">
        <v>882</v>
      </c>
      <c r="B453" s="392" t="s">
        <v>883</v>
      </c>
      <c r="C453" s="392" t="s">
        <v>879</v>
      </c>
      <c r="D453" s="121" t="s">
        <v>43</v>
      </c>
      <c r="E453" s="268" t="s">
        <v>621</v>
      </c>
      <c r="F453" s="121" t="s">
        <v>884</v>
      </c>
      <c r="G453" s="240" t="s">
        <v>884</v>
      </c>
      <c r="H453" s="121" t="s">
        <v>45</v>
      </c>
      <c r="I453" s="392" t="s">
        <v>46</v>
      </c>
      <c r="J453" s="177">
        <v>1868861823.4821918</v>
      </c>
      <c r="M453" s="123">
        <v>3.2894570999999997E-2</v>
      </c>
      <c r="N453" s="123" t="s">
        <v>122</v>
      </c>
      <c r="O453" s="229" t="s">
        <v>885</v>
      </c>
      <c r="R453" s="123" t="s">
        <v>886</v>
      </c>
      <c r="S453" s="123">
        <v>2.5000000000000001E-4</v>
      </c>
      <c r="T453" s="123">
        <v>0.04</v>
      </c>
      <c r="U453" s="177">
        <v>37098110.850000001</v>
      </c>
      <c r="V453" s="177">
        <v>33650098</v>
      </c>
      <c r="W453" s="177">
        <v>0</v>
      </c>
      <c r="Y453" s="177">
        <v>1869450</v>
      </c>
      <c r="Z453" s="177">
        <v>824547</v>
      </c>
      <c r="AA453" s="177">
        <v>467000</v>
      </c>
      <c r="AD453" s="177">
        <v>253494</v>
      </c>
      <c r="AF453" s="177">
        <v>33521.85</v>
      </c>
      <c r="AG453" s="177">
        <v>0</v>
      </c>
      <c r="AH453" s="177">
        <v>0</v>
      </c>
      <c r="AI453" s="123"/>
      <c r="AJ453" s="123">
        <v>1.9900000000000001E-2</v>
      </c>
    </row>
    <row r="454" spans="1:39">
      <c r="A454" s="391" t="s">
        <v>887</v>
      </c>
      <c r="B454" s="392" t="s">
        <v>888</v>
      </c>
      <c r="C454" s="392" t="s">
        <v>879</v>
      </c>
      <c r="D454" s="121" t="s">
        <v>43</v>
      </c>
      <c r="E454" s="268" t="s">
        <v>621</v>
      </c>
      <c r="F454" s="121" t="s">
        <v>884</v>
      </c>
      <c r="G454" s="240" t="s">
        <v>884</v>
      </c>
      <c r="H454" s="121" t="s">
        <v>45</v>
      </c>
      <c r="I454" s="392" t="s">
        <v>46</v>
      </c>
      <c r="J454" s="177">
        <v>1545269111.0602739</v>
      </c>
      <c r="M454" s="123">
        <v>2.8656548E-2</v>
      </c>
      <c r="N454" s="123" t="s">
        <v>122</v>
      </c>
      <c r="O454" s="229" t="s">
        <v>885</v>
      </c>
      <c r="R454" s="123" t="s">
        <v>886</v>
      </c>
      <c r="S454" s="123">
        <v>2.5000000000000001E-4</v>
      </c>
      <c r="T454" s="123">
        <v>0.04</v>
      </c>
      <c r="U454" s="177">
        <v>27764347.48</v>
      </c>
      <c r="V454" s="177">
        <v>24729628</v>
      </c>
      <c r="W454" s="177">
        <v>0</v>
      </c>
      <c r="Y454" s="177">
        <v>1545602</v>
      </c>
      <c r="Z454" s="177">
        <v>824547</v>
      </c>
      <c r="AA454" s="177">
        <v>386000</v>
      </c>
      <c r="AD454" s="177">
        <v>239111</v>
      </c>
      <c r="AF454" s="177">
        <v>39459.480000000003</v>
      </c>
      <c r="AG454" s="177">
        <v>0</v>
      </c>
      <c r="AH454" s="177">
        <v>0</v>
      </c>
      <c r="AI454" s="123"/>
      <c r="AJ454" s="123">
        <v>1.7999999999999999E-2</v>
      </c>
    </row>
    <row r="455" spans="1:39">
      <c r="A455" s="391" t="s">
        <v>889</v>
      </c>
      <c r="B455" s="392" t="s">
        <v>890</v>
      </c>
      <c r="C455" s="392" t="s">
        <v>879</v>
      </c>
      <c r="D455" s="121" t="s">
        <v>43</v>
      </c>
      <c r="E455" s="121" t="s">
        <v>44</v>
      </c>
      <c r="F455" s="121" t="s">
        <v>55</v>
      </c>
      <c r="G455" s="393" t="s">
        <v>1351</v>
      </c>
      <c r="H455" s="121" t="s">
        <v>62</v>
      </c>
      <c r="I455" s="392" t="s">
        <v>46</v>
      </c>
      <c r="J455" s="177">
        <v>1420709931.7479453</v>
      </c>
      <c r="K455" s="177">
        <v>0</v>
      </c>
      <c r="M455" s="123">
        <v>4.3446247E-2</v>
      </c>
      <c r="N455" s="123">
        <v>1.1273801000000002E-2</v>
      </c>
      <c r="O455" s="229" t="s">
        <v>891</v>
      </c>
      <c r="R455" s="123" t="s">
        <v>886</v>
      </c>
      <c r="S455" s="123">
        <v>2.9999999999999997E-4</v>
      </c>
      <c r="T455" s="123">
        <v>0.03</v>
      </c>
      <c r="U455" s="177">
        <v>31354003.77</v>
      </c>
      <c r="V455" s="177">
        <v>28425968</v>
      </c>
      <c r="W455" s="177">
        <v>0</v>
      </c>
      <c r="X455" s="177">
        <v>213951</v>
      </c>
      <c r="Y455" s="177">
        <v>1421299</v>
      </c>
      <c r="Z455" s="177">
        <v>823204</v>
      </c>
      <c r="AA455" s="177">
        <v>354000</v>
      </c>
      <c r="AB455" s="177">
        <v>0</v>
      </c>
      <c r="AC455" s="177">
        <v>0</v>
      </c>
      <c r="AD455" s="177">
        <v>79361</v>
      </c>
      <c r="AF455" s="177">
        <v>36220.769999999997</v>
      </c>
      <c r="AG455" s="177">
        <v>0</v>
      </c>
      <c r="AH455" s="177">
        <v>0</v>
      </c>
      <c r="AI455" s="123">
        <v>7.3610000000000004E-3</v>
      </c>
      <c r="AJ455" s="123">
        <v>0.03</v>
      </c>
      <c r="AK455" s="177" t="s">
        <v>611</v>
      </c>
    </row>
    <row r="456" spans="1:39">
      <c r="A456" s="391" t="s">
        <v>892</v>
      </c>
      <c r="B456" s="392" t="s">
        <v>893</v>
      </c>
      <c r="C456" s="392" t="s">
        <v>879</v>
      </c>
      <c r="D456" s="121" t="s">
        <v>43</v>
      </c>
      <c r="E456" s="121" t="s">
        <v>44</v>
      </c>
      <c r="F456" s="121" t="s">
        <v>55</v>
      </c>
      <c r="G456" s="393" t="s">
        <v>1351</v>
      </c>
      <c r="H456" s="121" t="s">
        <v>62</v>
      </c>
      <c r="I456" s="392" t="s">
        <v>46</v>
      </c>
      <c r="J456" s="177">
        <v>305598563.51232874</v>
      </c>
      <c r="M456" s="123">
        <v>-5.4600000000000003E-2</v>
      </c>
      <c r="N456" s="394">
        <v>-5.8999999999999997E-2</v>
      </c>
      <c r="O456" s="229" t="s">
        <v>894</v>
      </c>
      <c r="R456" s="123" t="s">
        <v>886</v>
      </c>
      <c r="S456" s="123">
        <v>2.5000000000000001E-4</v>
      </c>
      <c r="T456" s="123">
        <v>0.03</v>
      </c>
      <c r="U456" s="177">
        <v>5848929.71</v>
      </c>
      <c r="V456" s="177">
        <v>4587128</v>
      </c>
      <c r="W456" s="177">
        <v>0</v>
      </c>
      <c r="X456" s="177">
        <v>0</v>
      </c>
      <c r="Y456" s="177">
        <v>314856</v>
      </c>
      <c r="Z456" s="177">
        <v>823141</v>
      </c>
      <c r="AA456" s="177">
        <v>76000</v>
      </c>
      <c r="AD456" s="177">
        <v>17899</v>
      </c>
      <c r="AF456" s="177">
        <v>29905.71</v>
      </c>
      <c r="AG456" s="177">
        <v>0</v>
      </c>
      <c r="AH456" s="177">
        <v>0</v>
      </c>
      <c r="AI456" s="123">
        <v>7.509E-3</v>
      </c>
      <c r="AJ456" s="123">
        <v>3.0499999999999999E-2</v>
      </c>
    </row>
    <row r="457" spans="1:39">
      <c r="A457" s="391" t="s">
        <v>895</v>
      </c>
      <c r="B457" s="121" t="s">
        <v>896</v>
      </c>
      <c r="C457" s="392" t="s">
        <v>879</v>
      </c>
      <c r="D457" s="121" t="s">
        <v>43</v>
      </c>
      <c r="E457" s="268" t="s">
        <v>621</v>
      </c>
      <c r="F457" s="121" t="s">
        <v>1348</v>
      </c>
      <c r="G457" s="121" t="s">
        <v>88</v>
      </c>
      <c r="H457" s="121" t="s">
        <v>45</v>
      </c>
      <c r="I457" s="392" t="s">
        <v>46</v>
      </c>
      <c r="J457" s="177">
        <v>531444508.69483894</v>
      </c>
      <c r="M457" s="123">
        <v>3.7394969E-2</v>
      </c>
      <c r="N457" s="123" t="s">
        <v>122</v>
      </c>
      <c r="O457" s="395" t="s">
        <v>897</v>
      </c>
      <c r="R457" s="123" t="s">
        <v>886</v>
      </c>
      <c r="S457" s="123">
        <v>2.5000000000000001E-4</v>
      </c>
      <c r="T457" s="123">
        <v>0.04</v>
      </c>
      <c r="U457" s="177">
        <v>10636967.188269109</v>
      </c>
      <c r="V457" s="177">
        <v>8692071.1987528615</v>
      </c>
      <c r="W457" s="177">
        <v>0</v>
      </c>
      <c r="X457" s="177">
        <v>0</v>
      </c>
      <c r="Y457" s="177">
        <v>531261.56343383039</v>
      </c>
      <c r="Z457" s="177">
        <v>821452.58283017413</v>
      </c>
      <c r="AA457" s="177">
        <v>132760.73935109316</v>
      </c>
      <c r="AD457" s="177">
        <v>425110.86761372519</v>
      </c>
      <c r="AF457" s="177">
        <v>34310.236287425025</v>
      </c>
      <c r="AG457" s="177">
        <v>0</v>
      </c>
      <c r="AH457" s="177">
        <v>0</v>
      </c>
      <c r="AI457" s="123">
        <v>0</v>
      </c>
      <c r="AJ457" s="123">
        <v>2.2100000000000002E-2</v>
      </c>
      <c r="AK457" s="177">
        <f>158240/($J$9+$J$10)*J457</f>
        <v>146174.35687408785</v>
      </c>
    </row>
    <row r="458" spans="1:39">
      <c r="A458" s="391" t="s">
        <v>898</v>
      </c>
      <c r="B458" s="121" t="s">
        <v>899</v>
      </c>
      <c r="C458" s="392" t="s">
        <v>879</v>
      </c>
      <c r="D458" s="121" t="s">
        <v>43</v>
      </c>
      <c r="E458" s="268" t="s">
        <v>621</v>
      </c>
      <c r="F458" s="121" t="s">
        <v>1348</v>
      </c>
      <c r="G458" s="121" t="s">
        <v>88</v>
      </c>
      <c r="H458" s="121" t="s">
        <v>45</v>
      </c>
      <c r="I458" s="392" t="s">
        <v>46</v>
      </c>
      <c r="J458" s="177">
        <v>960367.83855543565</v>
      </c>
      <c r="M458" s="123">
        <v>3.7394969E-2</v>
      </c>
      <c r="N458" s="123" t="s">
        <v>122</v>
      </c>
      <c r="O458" s="395" t="s">
        <v>897</v>
      </c>
      <c r="R458" s="123" t="s">
        <v>886</v>
      </c>
      <c r="S458" s="123">
        <v>2.5000000000000001E-4</v>
      </c>
      <c r="T458" s="123">
        <v>0.04</v>
      </c>
      <c r="U458" s="177">
        <v>19169.881730890884</v>
      </c>
      <c r="V458" s="177">
        <v>15664.801247139065</v>
      </c>
      <c r="W458" s="177">
        <v>0</v>
      </c>
      <c r="X458" s="177">
        <v>0</v>
      </c>
      <c r="Y458" s="177">
        <v>957.43656616956537</v>
      </c>
      <c r="Z458" s="177">
        <v>1480.4171698259906</v>
      </c>
      <c r="AA458" s="177">
        <v>239.26064890684512</v>
      </c>
      <c r="AD458" s="177">
        <v>766.13238627443991</v>
      </c>
      <c r="AF458" s="177">
        <v>61.833712574973703</v>
      </c>
      <c r="AG458" s="177">
        <v>0</v>
      </c>
      <c r="AH458" s="177">
        <v>0</v>
      </c>
      <c r="AI458" s="123">
        <v>0</v>
      </c>
      <c r="AJ458" s="123">
        <v>2.2100000000000002E-2</v>
      </c>
      <c r="AK458" s="177">
        <f>158240/($J$9+$J$10)*J458</f>
        <v>264.15015842040992</v>
      </c>
    </row>
    <row r="459" spans="1:39">
      <c r="A459" s="391" t="s">
        <v>900</v>
      </c>
      <c r="B459" s="121" t="s">
        <v>901</v>
      </c>
      <c r="C459" s="392" t="s">
        <v>879</v>
      </c>
      <c r="D459" s="121" t="s">
        <v>43</v>
      </c>
      <c r="E459" s="268" t="s">
        <v>621</v>
      </c>
      <c r="F459" s="121" t="s">
        <v>1348</v>
      </c>
      <c r="G459" s="121" t="s">
        <v>830</v>
      </c>
      <c r="H459" s="121" t="s">
        <v>45</v>
      </c>
      <c r="I459" s="392" t="s">
        <v>46</v>
      </c>
      <c r="J459" s="177">
        <v>237910065.44931507</v>
      </c>
      <c r="M459" s="123">
        <v>1.9448582999999998E-2</v>
      </c>
      <c r="N459" s="123" t="s">
        <v>122</v>
      </c>
      <c r="O459" s="395" t="s">
        <v>902</v>
      </c>
      <c r="R459" s="123" t="s">
        <v>886</v>
      </c>
      <c r="S459" s="123">
        <v>2.5000000000000001E-4</v>
      </c>
      <c r="T459" s="123">
        <v>0.04</v>
      </c>
      <c r="U459" s="177">
        <v>5814455.1600000001</v>
      </c>
      <c r="V459" s="177">
        <v>4243762</v>
      </c>
      <c r="W459" s="177">
        <v>0</v>
      </c>
      <c r="X459" s="177">
        <v>0</v>
      </c>
      <c r="Y459" s="177">
        <v>237856</v>
      </c>
      <c r="Z459" s="177">
        <v>822933</v>
      </c>
      <c r="AA459" s="177">
        <v>60000</v>
      </c>
      <c r="AD459" s="177">
        <v>412814</v>
      </c>
      <c r="AF459" s="177">
        <v>37090.160000000003</v>
      </c>
      <c r="AG459" s="177">
        <v>0</v>
      </c>
      <c r="AH459" s="177">
        <v>0</v>
      </c>
      <c r="AI459" s="123">
        <v>1.5939999999999999E-3</v>
      </c>
      <c r="AJ459" s="123">
        <v>2.7699999999999999E-2</v>
      </c>
      <c r="AK459" s="177">
        <v>77183</v>
      </c>
    </row>
    <row r="460" spans="1:39">
      <c r="A460" s="391" t="s">
        <v>903</v>
      </c>
      <c r="B460" s="121" t="s">
        <v>904</v>
      </c>
      <c r="C460" s="392" t="s">
        <v>879</v>
      </c>
      <c r="D460" s="121" t="s">
        <v>43</v>
      </c>
      <c r="E460" s="268" t="s">
        <v>621</v>
      </c>
      <c r="F460" s="121" t="s">
        <v>1348</v>
      </c>
      <c r="G460" s="121" t="s">
        <v>830</v>
      </c>
      <c r="H460" s="121" t="s">
        <v>45</v>
      </c>
      <c r="I460" s="392" t="s">
        <v>46</v>
      </c>
      <c r="J460" s="177">
        <v>180078829.71780822</v>
      </c>
      <c r="M460" s="123">
        <v>4.0211553000000004E-2</v>
      </c>
      <c r="N460" s="123" t="s">
        <v>122</v>
      </c>
      <c r="O460" s="395" t="s">
        <v>905</v>
      </c>
      <c r="R460" s="123" t="s">
        <v>886</v>
      </c>
      <c r="S460" s="123">
        <v>2.5000000000000001E-4</v>
      </c>
      <c r="T460" s="123">
        <v>0.04</v>
      </c>
      <c r="U460" s="177">
        <v>4955589.93</v>
      </c>
      <c r="V460" s="177">
        <v>3426858</v>
      </c>
      <c r="W460" s="177">
        <v>0</v>
      </c>
      <c r="X460" s="177">
        <v>0</v>
      </c>
      <c r="Y460" s="177">
        <v>180068</v>
      </c>
      <c r="Z460" s="177">
        <v>822933</v>
      </c>
      <c r="AA460" s="177">
        <v>44000</v>
      </c>
      <c r="AD460" s="177">
        <v>447151</v>
      </c>
      <c r="AF460" s="177">
        <v>34579.93</v>
      </c>
      <c r="AG460" s="177">
        <v>0</v>
      </c>
      <c r="AH460" s="177">
        <v>0</v>
      </c>
      <c r="AI460" s="123">
        <v>1.753E-3</v>
      </c>
      <c r="AJ460" s="123">
        <v>3.15E-2</v>
      </c>
      <c r="AK460" s="177">
        <v>140011</v>
      </c>
    </row>
    <row r="461" spans="1:39">
      <c r="A461" s="391" t="s">
        <v>906</v>
      </c>
      <c r="B461" s="392" t="s">
        <v>907</v>
      </c>
      <c r="C461" s="392" t="s">
        <v>879</v>
      </c>
      <c r="D461" s="121" t="s">
        <v>43</v>
      </c>
      <c r="E461" s="121" t="s">
        <v>44</v>
      </c>
      <c r="F461" s="121" t="s">
        <v>1348</v>
      </c>
      <c r="G461" s="393" t="s">
        <v>1351</v>
      </c>
      <c r="H461" s="121" t="s">
        <v>62</v>
      </c>
      <c r="I461" s="392" t="s">
        <v>46</v>
      </c>
      <c r="J461" s="177">
        <v>3256046037.498559</v>
      </c>
      <c r="M461" s="123">
        <v>-5.5171905E-2</v>
      </c>
      <c r="N461" s="123">
        <v>-6.8066159000000001E-2</v>
      </c>
      <c r="O461" s="229" t="s">
        <v>891</v>
      </c>
      <c r="R461" s="123" t="s">
        <v>908</v>
      </c>
      <c r="S461" s="123">
        <v>2.9999999999999997E-4</v>
      </c>
      <c r="U461" s="177">
        <v>73349744.599867612</v>
      </c>
      <c r="V461" s="177">
        <v>65085502</v>
      </c>
      <c r="W461" s="177">
        <v>0</v>
      </c>
      <c r="X461" s="177">
        <v>511510.95323397859</v>
      </c>
      <c r="Y461" s="177">
        <v>5538775.4468801636</v>
      </c>
      <c r="Z461" s="177">
        <v>748464.60994459584</v>
      </c>
      <c r="AA461" s="177">
        <v>814164.20025170851</v>
      </c>
      <c r="AB461" s="177">
        <v>0</v>
      </c>
      <c r="AC461" s="177">
        <v>0</v>
      </c>
      <c r="AD461" s="177">
        <v>613312.44200460159</v>
      </c>
      <c r="AF461" s="177">
        <v>38014.947552567093</v>
      </c>
      <c r="AG461" s="177">
        <v>0</v>
      </c>
      <c r="AH461" s="177">
        <v>0</v>
      </c>
      <c r="AI461" s="123"/>
      <c r="AJ461" s="123">
        <v>2.2499999999999999E-2</v>
      </c>
    </row>
    <row r="462" spans="1:39">
      <c r="A462" s="391" t="s">
        <v>909</v>
      </c>
      <c r="B462" s="392" t="s">
        <v>910</v>
      </c>
      <c r="C462" s="392" t="s">
        <v>879</v>
      </c>
      <c r="D462" s="121" t="s">
        <v>43</v>
      </c>
      <c r="E462" s="121" t="s">
        <v>44</v>
      </c>
      <c r="F462" s="121" t="s">
        <v>1348</v>
      </c>
      <c r="G462" s="393" t="s">
        <v>1351</v>
      </c>
      <c r="H462" s="121" t="s">
        <v>62</v>
      </c>
      <c r="I462" s="392" t="s">
        <v>46</v>
      </c>
      <c r="J462" s="177">
        <v>319283308.38003743</v>
      </c>
      <c r="M462" s="123">
        <v>-4.2705783999999997E-2</v>
      </c>
      <c r="N462" s="123">
        <v>-6.8066159000000001E-2</v>
      </c>
      <c r="O462" s="229" t="s">
        <v>911</v>
      </c>
      <c r="R462" s="123" t="s">
        <v>908</v>
      </c>
      <c r="S462" s="123">
        <v>2.9999999999999997E-4</v>
      </c>
      <c r="U462" s="177">
        <v>3044923.0401323843</v>
      </c>
      <c r="V462" s="177">
        <v>2234543</v>
      </c>
      <c r="W462" s="177">
        <v>0</v>
      </c>
      <c r="X462" s="177">
        <v>50158.046766021369</v>
      </c>
      <c r="Y462" s="177">
        <v>543124.55311983638</v>
      </c>
      <c r="Z462" s="177">
        <v>73393.390055404147</v>
      </c>
      <c r="AA462" s="177">
        <v>79835.799748291436</v>
      </c>
      <c r="AB462" s="177">
        <v>0</v>
      </c>
      <c r="AC462" s="177">
        <v>0</v>
      </c>
      <c r="AD462" s="177">
        <v>60140.557995398369</v>
      </c>
      <c r="AF462" s="177">
        <v>3727.6924474329089</v>
      </c>
      <c r="AG462" s="177">
        <v>0</v>
      </c>
      <c r="AH462" s="177">
        <v>0</v>
      </c>
      <c r="AI462" s="123"/>
      <c r="AJ462" s="123">
        <v>9.4999999999999998E-3</v>
      </c>
    </row>
    <row r="463" spans="1:39">
      <c r="A463" s="391" t="s">
        <v>912</v>
      </c>
      <c r="B463" s="392" t="s">
        <v>913</v>
      </c>
      <c r="C463" s="392" t="s">
        <v>879</v>
      </c>
      <c r="D463" s="121" t="s">
        <v>43</v>
      </c>
      <c r="E463" s="121" t="s">
        <v>44</v>
      </c>
      <c r="F463" s="121" t="s">
        <v>1349</v>
      </c>
      <c r="G463" s="393" t="s">
        <v>1351</v>
      </c>
      <c r="H463" s="121" t="s">
        <v>45</v>
      </c>
      <c r="I463" s="392" t="s">
        <v>46</v>
      </c>
      <c r="J463" s="177">
        <v>1270872025.6490967</v>
      </c>
      <c r="M463" s="123">
        <v>3.4541116000000004E-2</v>
      </c>
      <c r="N463" s="123">
        <v>2.1508595000000002E-2</v>
      </c>
      <c r="O463" s="229" t="s">
        <v>891</v>
      </c>
      <c r="R463" s="123" t="s">
        <v>886</v>
      </c>
      <c r="S463" s="123">
        <v>2.9999999999999997E-4</v>
      </c>
      <c r="U463" s="177">
        <v>27996209.849960241</v>
      </c>
      <c r="V463" s="177">
        <v>25366357</v>
      </c>
      <c r="W463" s="177">
        <v>0</v>
      </c>
      <c r="X463" s="177">
        <v>186731.36036799056</v>
      </c>
      <c r="Y463" s="177">
        <v>1273137.0922653626</v>
      </c>
      <c r="Z463" s="177">
        <v>764220.97553674469</v>
      </c>
      <c r="AA463" s="177">
        <v>318462.66690983891</v>
      </c>
      <c r="AB463" s="177">
        <v>0</v>
      </c>
      <c r="AC463" s="177">
        <v>0</v>
      </c>
      <c r="AD463" s="177">
        <v>54293.7784559754</v>
      </c>
      <c r="AF463" s="177">
        <v>33006.976424324821</v>
      </c>
      <c r="AG463" s="177">
        <v>0</v>
      </c>
      <c r="AH463" s="177">
        <v>0</v>
      </c>
      <c r="AI463" s="123"/>
      <c r="AJ463" s="123">
        <v>2.1999999999999999E-2</v>
      </c>
    </row>
    <row r="464" spans="1:39">
      <c r="A464" s="391" t="s">
        <v>914</v>
      </c>
      <c r="B464" s="392" t="s">
        <v>915</v>
      </c>
      <c r="C464" s="392" t="s">
        <v>879</v>
      </c>
      <c r="D464" s="121" t="s">
        <v>43</v>
      </c>
      <c r="E464" s="121" t="s">
        <v>44</v>
      </c>
      <c r="F464" s="121" t="s">
        <v>1348</v>
      </c>
      <c r="G464" s="121" t="s">
        <v>48</v>
      </c>
      <c r="H464" s="121" t="s">
        <v>45</v>
      </c>
      <c r="I464" s="392" t="s">
        <v>46</v>
      </c>
      <c r="J464" s="177">
        <v>5460200506.324996</v>
      </c>
      <c r="K464" s="177">
        <v>0</v>
      </c>
      <c r="M464" s="123">
        <v>8.8854410999999994E-2</v>
      </c>
      <c r="N464" s="123">
        <v>0.100258957</v>
      </c>
      <c r="O464" s="229" t="s">
        <v>916</v>
      </c>
      <c r="R464" s="123" t="s">
        <v>886</v>
      </c>
      <c r="S464" s="123">
        <v>2.9999999999999997E-4</v>
      </c>
      <c r="U464" s="177">
        <v>71545976.770620644</v>
      </c>
      <c r="V464" s="177">
        <v>63085289</v>
      </c>
      <c r="W464" s="177">
        <v>0</v>
      </c>
      <c r="X464" s="177">
        <v>858975.84982280433</v>
      </c>
      <c r="Y464" s="177">
        <v>5462887.3664906137</v>
      </c>
      <c r="Z464" s="177">
        <v>430847.65625593107</v>
      </c>
      <c r="AA464" s="177">
        <v>1363792.4481916167</v>
      </c>
      <c r="AB464" s="177">
        <v>0</v>
      </c>
      <c r="AC464" s="177">
        <v>0</v>
      </c>
      <c r="AD464" s="177">
        <v>301706.77492871444</v>
      </c>
      <c r="AE464" s="177">
        <v>0</v>
      </c>
      <c r="AF464" s="177">
        <v>42477.674930964698</v>
      </c>
      <c r="AG464" s="177">
        <v>0</v>
      </c>
      <c r="AH464" s="177">
        <v>0</v>
      </c>
      <c r="AI464" s="123"/>
      <c r="AJ464" s="169">
        <v>1.3100000000000001E-2</v>
      </c>
    </row>
    <row r="465" spans="1:37">
      <c r="A465" s="391" t="s">
        <v>917</v>
      </c>
      <c r="B465" s="392" t="s">
        <v>918</v>
      </c>
      <c r="C465" s="392" t="s">
        <v>879</v>
      </c>
      <c r="D465" s="121" t="s">
        <v>43</v>
      </c>
      <c r="E465" s="121" t="s">
        <v>44</v>
      </c>
      <c r="F465" s="121" t="s">
        <v>1348</v>
      </c>
      <c r="G465" s="121" t="s">
        <v>48</v>
      </c>
      <c r="H465" s="121" t="s">
        <v>45</v>
      </c>
      <c r="I465" s="392" t="s">
        <v>46</v>
      </c>
      <c r="J465" s="177">
        <v>1934612647.6523013</v>
      </c>
      <c r="K465" s="177">
        <v>0</v>
      </c>
      <c r="M465" s="123">
        <v>9.4958753999999992E-2</v>
      </c>
      <c r="N465" s="123">
        <v>0.100258957</v>
      </c>
      <c r="O465" s="229" t="s">
        <v>919</v>
      </c>
      <c r="R465" s="123" t="s">
        <v>886</v>
      </c>
      <c r="S465" s="123">
        <v>2.9999999999999997E-4</v>
      </c>
      <c r="U465" s="177">
        <v>14610601.239379358</v>
      </c>
      <c r="V465" s="177">
        <v>11612881</v>
      </c>
      <c r="W465" s="177">
        <v>0</v>
      </c>
      <c r="X465" s="177">
        <v>304345.15017719573</v>
      </c>
      <c r="Y465" s="177">
        <v>1935564.6335093875</v>
      </c>
      <c r="Z465" s="177">
        <v>152654.34374406896</v>
      </c>
      <c r="AA465" s="177">
        <v>483207.55180838349</v>
      </c>
      <c r="AB465" s="177">
        <v>0</v>
      </c>
      <c r="AC465" s="177">
        <v>0</v>
      </c>
      <c r="AD465" s="177">
        <v>106898.22507128563</v>
      </c>
      <c r="AE465" s="177">
        <v>0</v>
      </c>
      <c r="AF465" s="177">
        <v>15050.335069035304</v>
      </c>
      <c r="AG465" s="177">
        <v>0</v>
      </c>
      <c r="AH465" s="177">
        <v>0</v>
      </c>
      <c r="AI465" s="123"/>
      <c r="AJ465" s="169">
        <v>7.6E-3</v>
      </c>
    </row>
    <row r="466" spans="1:37">
      <c r="A466" s="391" t="s">
        <v>920</v>
      </c>
      <c r="B466" s="392" t="s">
        <v>921</v>
      </c>
      <c r="C466" s="392" t="s">
        <v>879</v>
      </c>
      <c r="D466" s="121" t="s">
        <v>43</v>
      </c>
      <c r="E466" s="121" t="s">
        <v>44</v>
      </c>
      <c r="F466" s="121" t="s">
        <v>1348</v>
      </c>
      <c r="G466" s="246" t="s">
        <v>365</v>
      </c>
      <c r="H466" s="121" t="s">
        <v>45</v>
      </c>
      <c r="I466" s="392" t="s">
        <v>46</v>
      </c>
      <c r="J466" s="177">
        <v>58401455447.66935</v>
      </c>
      <c r="M466" s="123">
        <v>4.8349726999999995E-2</v>
      </c>
      <c r="N466" s="123">
        <v>5.4203317999999993E-2</v>
      </c>
      <c r="O466" s="229" t="s">
        <v>922</v>
      </c>
      <c r="R466" s="123" t="s">
        <v>886</v>
      </c>
      <c r="S466" s="123">
        <v>2.9999999999999997E-4</v>
      </c>
      <c r="U466" s="177">
        <v>573795812.77292204</v>
      </c>
      <c r="V466" s="177">
        <v>495766456</v>
      </c>
      <c r="W466" s="177">
        <v>0</v>
      </c>
      <c r="X466" s="177">
        <v>4646854.9646558892</v>
      </c>
      <c r="Y466" s="177">
        <v>57866996.799539424</v>
      </c>
      <c r="Z466" s="177">
        <v>805962.44946727448</v>
      </c>
      <c r="AA466" s="177">
        <v>14581761.647489835</v>
      </c>
      <c r="AB466" s="177">
        <v>0</v>
      </c>
      <c r="AC466" s="177">
        <v>0</v>
      </c>
      <c r="AD466" s="177">
        <v>0</v>
      </c>
      <c r="AF466" s="177">
        <v>127780.91176957007</v>
      </c>
      <c r="AG466" s="177">
        <v>0</v>
      </c>
      <c r="AH466" s="177">
        <v>0</v>
      </c>
      <c r="AI466" s="123"/>
      <c r="AJ466" s="123">
        <v>9.7999999999999997E-3</v>
      </c>
    </row>
    <row r="467" spans="1:37">
      <c r="A467" s="391" t="s">
        <v>923</v>
      </c>
      <c r="B467" s="392" t="s">
        <v>924</v>
      </c>
      <c r="C467" s="392" t="s">
        <v>879</v>
      </c>
      <c r="D467" s="121" t="s">
        <v>43</v>
      </c>
      <c r="E467" s="121" t="s">
        <v>44</v>
      </c>
      <c r="F467" s="121" t="s">
        <v>1348</v>
      </c>
      <c r="G467" s="246" t="s">
        <v>365</v>
      </c>
      <c r="H467" s="121" t="s">
        <v>45</v>
      </c>
      <c r="I467" s="392" t="s">
        <v>46</v>
      </c>
      <c r="J467" s="177">
        <v>1319488608.5983446</v>
      </c>
      <c r="M467" s="123">
        <v>5.2750527999999998E-2</v>
      </c>
      <c r="N467" s="123">
        <v>5.4203317999999993E-2</v>
      </c>
      <c r="O467" s="229" t="s">
        <v>925</v>
      </c>
      <c r="R467" s="123" t="s">
        <v>886</v>
      </c>
      <c r="S467" s="123">
        <v>2.9999999999999997E-4</v>
      </c>
      <c r="U467" s="177">
        <v>7298494.0259695239</v>
      </c>
      <c r="V467" s="177">
        <v>5535544</v>
      </c>
      <c r="W467" s="177">
        <v>0</v>
      </c>
      <c r="X467" s="177">
        <v>104988.34566145731</v>
      </c>
      <c r="Y467" s="177">
        <v>1307413.3599154379</v>
      </c>
      <c r="Z467" s="177">
        <v>18209.44808444029</v>
      </c>
      <c r="AA467" s="177">
        <v>329451.86450703267</v>
      </c>
      <c r="AB467" s="177">
        <v>0</v>
      </c>
      <c r="AC467" s="177">
        <v>0</v>
      </c>
      <c r="AD467" s="177">
        <v>0</v>
      </c>
      <c r="AF467" s="177">
        <v>2887.0078011555179</v>
      </c>
      <c r="AG467" s="177">
        <v>0</v>
      </c>
      <c r="AH467" s="177">
        <v>0</v>
      </c>
      <c r="AI467" s="123"/>
      <c r="AJ467" s="123">
        <v>5.4999999999999997E-3</v>
      </c>
    </row>
    <row r="468" spans="1:37">
      <c r="A468" s="391" t="s">
        <v>926</v>
      </c>
      <c r="B468" s="392" t="s">
        <v>927</v>
      </c>
      <c r="C468" s="392" t="s">
        <v>879</v>
      </c>
      <c r="D468" s="121" t="s">
        <v>43</v>
      </c>
      <c r="E468" s="121" t="s">
        <v>44</v>
      </c>
      <c r="F468" s="121" t="s">
        <v>55</v>
      </c>
      <c r="G468" s="121" t="s">
        <v>830</v>
      </c>
      <c r="H468" s="121" t="s">
        <v>45</v>
      </c>
      <c r="I468" s="392" t="s">
        <v>46</v>
      </c>
      <c r="J468" s="177">
        <v>791908024.65470541</v>
      </c>
      <c r="M468" s="123">
        <v>0.101190617</v>
      </c>
      <c r="N468" s="123">
        <v>9.6789866000000002E-2</v>
      </c>
      <c r="O468" s="229" t="s">
        <v>928</v>
      </c>
      <c r="R468" s="123" t="s">
        <v>929</v>
      </c>
      <c r="S468" s="123">
        <v>2.9999999999999997E-4</v>
      </c>
      <c r="T468" s="123">
        <v>0.03</v>
      </c>
      <c r="U468" s="177">
        <v>11364290.163338305</v>
      </c>
      <c r="V468" s="177">
        <v>9520656</v>
      </c>
      <c r="W468" s="177">
        <v>0</v>
      </c>
      <c r="X468" s="177">
        <v>142276.89425139851</v>
      </c>
      <c r="Y468" s="177">
        <v>1186558.5247211559</v>
      </c>
      <c r="Z468" s="177">
        <v>291120.48500475934</v>
      </c>
      <c r="AA468" s="177">
        <v>197717.62143657697</v>
      </c>
      <c r="AD468" s="177">
        <v>11600.022236247743</v>
      </c>
      <c r="AF468" s="177">
        <v>14360.615688166024</v>
      </c>
      <c r="AG468" s="177">
        <v>0</v>
      </c>
      <c r="AH468" s="177">
        <v>0</v>
      </c>
      <c r="AI468" s="123">
        <v>5.7429999999999998E-3</v>
      </c>
      <c r="AJ468" s="123">
        <v>2.1100000000000001E-2</v>
      </c>
    </row>
    <row r="469" spans="1:37">
      <c r="A469" s="391" t="s">
        <v>930</v>
      </c>
      <c r="B469" s="392" t="s">
        <v>931</v>
      </c>
      <c r="C469" s="392" t="s">
        <v>879</v>
      </c>
      <c r="D469" s="121" t="s">
        <v>43</v>
      </c>
      <c r="E469" s="121" t="s">
        <v>44</v>
      </c>
      <c r="F469" s="121" t="s">
        <v>55</v>
      </c>
      <c r="G469" s="121" t="s">
        <v>830</v>
      </c>
      <c r="H469" s="121" t="s">
        <v>45</v>
      </c>
      <c r="I469" s="392" t="s">
        <v>46</v>
      </c>
      <c r="J469" s="177">
        <v>1451030619.7841718</v>
      </c>
      <c r="M469" s="123">
        <v>0.10341353700000001</v>
      </c>
      <c r="N469" s="123">
        <v>9.6789866000000002E-2</v>
      </c>
      <c r="O469" s="229" t="s">
        <v>922</v>
      </c>
      <c r="R469" s="123" t="s">
        <v>929</v>
      </c>
      <c r="S469" s="123">
        <v>2.9999999999999997E-4</v>
      </c>
      <c r="T469" s="123">
        <v>0.03</v>
      </c>
      <c r="U469" s="177">
        <v>17883322.726661693</v>
      </c>
      <c r="V469" s="177">
        <v>14505191</v>
      </c>
      <c r="W469" s="177">
        <v>0</v>
      </c>
      <c r="X469" s="177">
        <v>260697.10574860152</v>
      </c>
      <c r="Y469" s="177">
        <v>2174157.4752788446</v>
      </c>
      <c r="Z469" s="177">
        <v>533426.51499524072</v>
      </c>
      <c r="AA469" s="177">
        <v>362282.37856342306</v>
      </c>
      <c r="AD469" s="177">
        <v>21254.977763752257</v>
      </c>
      <c r="AF469" s="177">
        <v>26313.274311833979</v>
      </c>
      <c r="AG469" s="177">
        <v>0</v>
      </c>
      <c r="AH469" s="177">
        <v>0</v>
      </c>
      <c r="AI469" s="123">
        <v>5.7429999999999998E-3</v>
      </c>
      <c r="AJ469" s="123">
        <v>1.9099999999999999E-2</v>
      </c>
    </row>
    <row r="470" spans="1:37">
      <c r="A470" s="391" t="s">
        <v>932</v>
      </c>
      <c r="B470" s="392" t="s">
        <v>933</v>
      </c>
      <c r="C470" s="392" t="s">
        <v>879</v>
      </c>
      <c r="D470" s="121" t="s">
        <v>43</v>
      </c>
      <c r="E470" s="121" t="s">
        <v>44</v>
      </c>
      <c r="F470" s="121" t="s">
        <v>55</v>
      </c>
      <c r="G470" s="393" t="s">
        <v>1351</v>
      </c>
      <c r="H470" s="121" t="s">
        <v>62</v>
      </c>
      <c r="I470" s="392" t="s">
        <v>46</v>
      </c>
      <c r="J470" s="177">
        <v>2376622967.475791</v>
      </c>
      <c r="M470" s="123">
        <v>0.25137729199999997</v>
      </c>
      <c r="N470" s="123">
        <v>0.18387816099999998</v>
      </c>
      <c r="O470" s="229" t="s">
        <v>934</v>
      </c>
      <c r="R470" s="123" t="s">
        <v>886</v>
      </c>
      <c r="S470" s="123">
        <v>2.9999999999999997E-4</v>
      </c>
      <c r="T470" s="123">
        <v>0.03</v>
      </c>
      <c r="U470" s="177">
        <v>39820834.77824764</v>
      </c>
      <c r="V470" s="177">
        <v>35591401</v>
      </c>
      <c r="W470" s="177">
        <v>0</v>
      </c>
      <c r="X470" s="177">
        <v>438118.38684958708</v>
      </c>
      <c r="Y470" s="177">
        <v>2375386.5878250543</v>
      </c>
      <c r="Z470" s="177">
        <v>740229.86933334393</v>
      </c>
      <c r="AA470" s="177">
        <v>592509.23690221051</v>
      </c>
      <c r="AD470" s="177">
        <v>50466.525382511762</v>
      </c>
      <c r="AF470" s="177">
        <v>32723.171954936723</v>
      </c>
      <c r="AG470" s="177">
        <v>0</v>
      </c>
      <c r="AH470" s="177">
        <v>0</v>
      </c>
      <c r="AI470" s="123">
        <v>6.0549999999999996E-3</v>
      </c>
      <c r="AJ470" s="123">
        <v>2.29E-2</v>
      </c>
    </row>
    <row r="471" spans="1:37">
      <c r="A471" s="391" t="s">
        <v>935</v>
      </c>
      <c r="B471" s="392" t="s">
        <v>936</v>
      </c>
      <c r="C471" s="392" t="s">
        <v>879</v>
      </c>
      <c r="D471" s="121" t="s">
        <v>43</v>
      </c>
      <c r="E471" s="121" t="s">
        <v>44</v>
      </c>
      <c r="F471" s="121" t="s">
        <v>55</v>
      </c>
      <c r="G471" s="393" t="s">
        <v>1351</v>
      </c>
      <c r="H471" s="121" t="s">
        <v>62</v>
      </c>
      <c r="I471" s="392" t="s">
        <v>46</v>
      </c>
      <c r="J471" s="177">
        <v>270713244.08255118</v>
      </c>
      <c r="M471" s="123">
        <v>0.26151972099999998</v>
      </c>
      <c r="N471" s="123">
        <v>0.18387816099999998</v>
      </c>
      <c r="O471" s="229" t="s">
        <v>911</v>
      </c>
      <c r="R471" s="123" t="s">
        <v>886</v>
      </c>
      <c r="S471" s="123">
        <v>2.9999999999999997E-4</v>
      </c>
      <c r="T471" s="123">
        <v>0.03</v>
      </c>
      <c r="U471" s="177">
        <v>2377122.7817523563</v>
      </c>
      <c r="V471" s="177">
        <v>1895362</v>
      </c>
      <c r="W471" s="177">
        <v>0</v>
      </c>
      <c r="X471" s="177">
        <v>49904.613150412966</v>
      </c>
      <c r="Y471" s="177">
        <v>270572.4121749457</v>
      </c>
      <c r="Z471" s="177">
        <v>84317.130666656201</v>
      </c>
      <c r="AA471" s="177">
        <v>67490.763097789575</v>
      </c>
      <c r="AD471" s="177">
        <v>5748.474617488243</v>
      </c>
      <c r="AF471" s="177">
        <v>3727.3880450632792</v>
      </c>
      <c r="AG471" s="177">
        <v>0</v>
      </c>
      <c r="AH471" s="177">
        <v>0</v>
      </c>
      <c r="AI471" s="123">
        <v>6.0549999999999996E-3</v>
      </c>
      <c r="AJ471" s="123">
        <v>1.49E-2</v>
      </c>
    </row>
    <row r="472" spans="1:37">
      <c r="A472" s="391" t="s">
        <v>937</v>
      </c>
      <c r="B472" s="392" t="s">
        <v>938</v>
      </c>
      <c r="C472" s="392" t="s">
        <v>879</v>
      </c>
      <c r="D472" s="121" t="s">
        <v>43</v>
      </c>
      <c r="E472" s="121" t="s">
        <v>44</v>
      </c>
      <c r="F472" s="121" t="s">
        <v>55</v>
      </c>
      <c r="G472" s="393" t="s">
        <v>1351</v>
      </c>
      <c r="H472" s="121" t="s">
        <v>62</v>
      </c>
      <c r="I472" s="392" t="s">
        <v>46</v>
      </c>
      <c r="J472" s="177">
        <v>2386712825.9451394</v>
      </c>
      <c r="M472" s="123">
        <v>0.27544022499999998</v>
      </c>
      <c r="N472" s="123">
        <v>0.262932954</v>
      </c>
      <c r="O472" s="229" t="s">
        <v>934</v>
      </c>
      <c r="R472" s="123" t="s">
        <v>886</v>
      </c>
      <c r="S472" s="123">
        <v>2.9999999999999997E-4</v>
      </c>
      <c r="T472" s="123">
        <v>0.03</v>
      </c>
      <c r="U472" s="177">
        <v>39945115.278447807</v>
      </c>
      <c r="V472" s="177">
        <v>35789196</v>
      </c>
      <c r="W472" s="177">
        <v>0</v>
      </c>
      <c r="X472" s="177">
        <v>457361.07321162126</v>
      </c>
      <c r="Y472" s="177">
        <v>2384076.3004060714</v>
      </c>
      <c r="Z472" s="177">
        <v>674156.8722878237</v>
      </c>
      <c r="AA472" s="177">
        <v>595568.09815786453</v>
      </c>
      <c r="AD472" s="177">
        <v>17203.480139360599</v>
      </c>
      <c r="AF472" s="177">
        <v>27553.454245069523</v>
      </c>
      <c r="AG472" s="177">
        <v>0</v>
      </c>
      <c r="AH472" s="177">
        <v>0</v>
      </c>
      <c r="AI472" s="123">
        <v>6.8085399999999992E-3</v>
      </c>
      <c r="AJ472" s="123">
        <v>2.35E-2</v>
      </c>
    </row>
    <row r="473" spans="1:37">
      <c r="A473" s="391" t="s">
        <v>939</v>
      </c>
      <c r="B473" s="392" t="s">
        <v>940</v>
      </c>
      <c r="C473" s="392" t="s">
        <v>879</v>
      </c>
      <c r="D473" s="121" t="s">
        <v>43</v>
      </c>
      <c r="E473" s="121" t="s">
        <v>44</v>
      </c>
      <c r="F473" s="121" t="s">
        <v>55</v>
      </c>
      <c r="G473" s="393" t="s">
        <v>1351</v>
      </c>
      <c r="H473" s="121" t="s">
        <v>62</v>
      </c>
      <c r="I473" s="392" t="s">
        <v>46</v>
      </c>
      <c r="J473" s="177">
        <v>526707536.61126894</v>
      </c>
      <c r="M473" s="123">
        <v>0.28576884000000002</v>
      </c>
      <c r="N473" s="123">
        <v>0.262932954</v>
      </c>
      <c r="O473" s="229" t="s">
        <v>911</v>
      </c>
      <c r="R473" s="123" t="s">
        <v>886</v>
      </c>
      <c r="S473" s="123">
        <v>2.9999999999999997E-4</v>
      </c>
      <c r="T473" s="123">
        <v>0.03</v>
      </c>
      <c r="U473" s="177">
        <v>4603163.7615521885</v>
      </c>
      <c r="V473" s="177">
        <v>3686022</v>
      </c>
      <c r="W473" s="177">
        <v>0</v>
      </c>
      <c r="X473" s="177">
        <v>100931.9267883787</v>
      </c>
      <c r="Y473" s="177">
        <v>526125.69959392888</v>
      </c>
      <c r="Z473" s="177">
        <v>148775.12771217636</v>
      </c>
      <c r="AA473" s="177">
        <v>131431.90184213544</v>
      </c>
      <c r="AD473" s="177">
        <v>3796.5198606394006</v>
      </c>
      <c r="AF473" s="177">
        <v>6080.5857549304774</v>
      </c>
      <c r="AG473" s="177">
        <v>0</v>
      </c>
      <c r="AH473" s="177">
        <v>0</v>
      </c>
      <c r="AI473" s="123">
        <v>6.8085399999999992E-3</v>
      </c>
      <c r="AJ473" s="123">
        <v>1.55E-2</v>
      </c>
    </row>
    <row r="474" spans="1:37">
      <c r="A474" s="391" t="s">
        <v>941</v>
      </c>
      <c r="B474" s="392" t="s">
        <v>942</v>
      </c>
      <c r="C474" s="392" t="s">
        <v>879</v>
      </c>
      <c r="D474" s="121" t="s">
        <v>43</v>
      </c>
      <c r="E474" s="268" t="s">
        <v>621</v>
      </c>
      <c r="F474" s="121" t="s">
        <v>884</v>
      </c>
      <c r="G474" s="240" t="s">
        <v>884</v>
      </c>
      <c r="H474" s="121" t="s">
        <v>45</v>
      </c>
      <c r="I474" s="392" t="s">
        <v>46</v>
      </c>
      <c r="J474" s="177">
        <v>6391505263.9561644</v>
      </c>
      <c r="M474" s="123">
        <v>5.7679058000000005E-2</v>
      </c>
      <c r="N474" s="123" t="s">
        <v>122</v>
      </c>
      <c r="O474" s="229" t="s">
        <v>943</v>
      </c>
      <c r="R474" s="123" t="s">
        <v>886</v>
      </c>
      <c r="S474" s="123">
        <v>2.5000000000000001E-4</v>
      </c>
      <c r="U474" s="177">
        <v>111675535.98</v>
      </c>
      <c r="V474" s="177">
        <v>102325614</v>
      </c>
      <c r="Y474" s="177">
        <v>6395352</v>
      </c>
      <c r="Z474" s="177">
        <v>824547</v>
      </c>
      <c r="AA474" s="177">
        <v>1599000</v>
      </c>
      <c r="AD474" s="177">
        <v>491885</v>
      </c>
      <c r="AF474" s="177">
        <v>39137.980000000003</v>
      </c>
      <c r="AG474" s="177">
        <v>0</v>
      </c>
      <c r="AH474" s="177">
        <v>0</v>
      </c>
      <c r="AI474" s="123"/>
      <c r="AJ474" s="123">
        <v>1.7500000000000002E-2</v>
      </c>
      <c r="AK474" s="177">
        <v>35850808</v>
      </c>
    </row>
    <row r="475" spans="1:37">
      <c r="A475" s="391" t="s">
        <v>944</v>
      </c>
      <c r="B475" s="392" t="s">
        <v>945</v>
      </c>
      <c r="C475" s="392" t="s">
        <v>879</v>
      </c>
      <c r="D475" s="121" t="s">
        <v>43</v>
      </c>
      <c r="E475" s="268" t="s">
        <v>621</v>
      </c>
      <c r="F475" s="121" t="s">
        <v>884</v>
      </c>
      <c r="G475" s="240" t="s">
        <v>884</v>
      </c>
      <c r="H475" s="121" t="s">
        <v>45</v>
      </c>
      <c r="I475" s="392" t="s">
        <v>46</v>
      </c>
      <c r="J475" s="177">
        <v>6268832438.5013695</v>
      </c>
      <c r="K475" s="177">
        <v>491738400</v>
      </c>
      <c r="L475" s="366">
        <v>41417</v>
      </c>
      <c r="M475" s="123">
        <v>7.3364589999999993E-2</v>
      </c>
      <c r="N475" s="123" t="s">
        <v>122</v>
      </c>
      <c r="O475" s="229" t="s">
        <v>946</v>
      </c>
      <c r="R475" s="123" t="s">
        <v>886</v>
      </c>
      <c r="S475" s="123">
        <v>2.5000000000000001E-4</v>
      </c>
      <c r="U475" s="177">
        <v>121896335.05</v>
      </c>
      <c r="V475" s="177">
        <v>112890308</v>
      </c>
      <c r="Y475" s="177">
        <v>6276209</v>
      </c>
      <c r="Z475" s="177">
        <v>824548</v>
      </c>
      <c r="AA475" s="177">
        <v>1568000</v>
      </c>
      <c r="AD475" s="177">
        <v>304108</v>
      </c>
      <c r="AF475" s="177">
        <v>33162.050000000003</v>
      </c>
      <c r="AG475" s="177">
        <v>0</v>
      </c>
      <c r="AH475" s="177">
        <v>0</v>
      </c>
      <c r="AI475" s="123"/>
      <c r="AJ475" s="123">
        <v>1.9400000000000001E-2</v>
      </c>
      <c r="AK475" s="177">
        <v>11343126</v>
      </c>
    </row>
    <row r="476" spans="1:37">
      <c r="A476" s="391" t="s">
        <v>947</v>
      </c>
      <c r="B476" s="121" t="s">
        <v>948</v>
      </c>
      <c r="C476" s="392" t="s">
        <v>879</v>
      </c>
      <c r="D476" s="121" t="s">
        <v>43</v>
      </c>
      <c r="E476" s="268" t="s">
        <v>621</v>
      </c>
      <c r="F476" s="121" t="s">
        <v>884</v>
      </c>
      <c r="G476" s="240" t="s">
        <v>884</v>
      </c>
      <c r="H476" s="121" t="s">
        <v>45</v>
      </c>
      <c r="I476" s="392" t="s">
        <v>46</v>
      </c>
      <c r="J476" s="177">
        <v>2062382076.182656</v>
      </c>
      <c r="M476" s="123">
        <v>0.11517957700000001</v>
      </c>
      <c r="N476" s="123" t="s">
        <v>122</v>
      </c>
      <c r="O476" s="229" t="s">
        <v>891</v>
      </c>
      <c r="R476" s="123" t="s">
        <v>886</v>
      </c>
      <c r="S476" s="123">
        <v>2.5000000000000001E-4</v>
      </c>
      <c r="U476" s="177">
        <v>39150482.889828019</v>
      </c>
      <c r="V476" s="177">
        <v>35473114.422090217</v>
      </c>
      <c r="Y476" s="177">
        <v>2062391.2906842553</v>
      </c>
      <c r="Z476" s="177">
        <v>821575.69918834569</v>
      </c>
      <c r="AA476" s="177">
        <v>515271.03498463228</v>
      </c>
      <c r="AD476" s="177">
        <v>249576.80832150247</v>
      </c>
      <c r="AF476" s="177">
        <v>28553.634559072911</v>
      </c>
      <c r="AG476" s="177">
        <v>0</v>
      </c>
      <c r="AH476" s="177">
        <v>0</v>
      </c>
      <c r="AI476" s="123"/>
      <c r="AJ476" s="123">
        <v>1.9E-2</v>
      </c>
      <c r="AK476" s="177">
        <f>2850781/($J$29+$J$30)*J476</f>
        <v>9239773.4278706908</v>
      </c>
    </row>
    <row r="477" spans="1:37">
      <c r="A477" s="391" t="s">
        <v>949</v>
      </c>
      <c r="B477" s="121" t="s">
        <v>950</v>
      </c>
      <c r="C477" s="392" t="s">
        <v>879</v>
      </c>
      <c r="D477" s="121" t="s">
        <v>43</v>
      </c>
      <c r="E477" s="268" t="s">
        <v>621</v>
      </c>
      <c r="F477" s="121" t="s">
        <v>884</v>
      </c>
      <c r="G477" s="240" t="s">
        <v>884</v>
      </c>
      <c r="H477" s="121" t="s">
        <v>45</v>
      </c>
      <c r="I477" s="392" t="s">
        <v>46</v>
      </c>
      <c r="J477" s="177">
        <v>2901890.0753698624</v>
      </c>
      <c r="M477" s="123">
        <v>0.11517957700000001</v>
      </c>
      <c r="N477" s="123" t="s">
        <v>122</v>
      </c>
      <c r="O477" s="229" t="s">
        <v>891</v>
      </c>
      <c r="R477" s="123" t="s">
        <v>886</v>
      </c>
      <c r="S477" s="123">
        <v>2.5000000000000001E-4</v>
      </c>
      <c r="U477" s="177">
        <v>55387.03017197537</v>
      </c>
      <c r="V477" s="177">
        <v>50184.577909784144</v>
      </c>
      <c r="Y477" s="177">
        <v>2917.7093157445302</v>
      </c>
      <c r="Z477" s="177">
        <v>1162.3008116543451</v>
      </c>
      <c r="AA477" s="177">
        <v>728.96501536776236</v>
      </c>
      <c r="AD477" s="177">
        <v>353.08167849750606</v>
      </c>
      <c r="AF477" s="177">
        <v>40.395440927085765</v>
      </c>
      <c r="AG477" s="177">
        <v>0</v>
      </c>
      <c r="AH477" s="177">
        <v>0</v>
      </c>
      <c r="AI477" s="123"/>
      <c r="AJ477" s="123">
        <v>1.9E-2</v>
      </c>
      <c r="AK477" s="177">
        <f>2850781/($J$29+$J$30)*J477</f>
        <v>13000.89208428004</v>
      </c>
    </row>
    <row r="478" spans="1:37">
      <c r="A478" s="391" t="s">
        <v>951</v>
      </c>
      <c r="B478" s="121" t="s">
        <v>952</v>
      </c>
      <c r="C478" s="392" t="s">
        <v>879</v>
      </c>
      <c r="D478" s="121" t="s">
        <v>43</v>
      </c>
      <c r="E478" s="268" t="s">
        <v>621</v>
      </c>
      <c r="F478" s="121" t="s">
        <v>884</v>
      </c>
      <c r="G478" s="240" t="s">
        <v>884</v>
      </c>
      <c r="H478" s="121" t="s">
        <v>45</v>
      </c>
      <c r="I478" s="392" t="s">
        <v>46</v>
      </c>
      <c r="J478" s="177">
        <v>4623658671.9670763</v>
      </c>
      <c r="M478" s="123">
        <v>0.10401431999999999</v>
      </c>
      <c r="N478" s="123" t="s">
        <v>122</v>
      </c>
      <c r="O478" s="229" t="s">
        <v>891</v>
      </c>
      <c r="R478" s="123" t="s">
        <v>886</v>
      </c>
      <c r="S478" s="123">
        <v>2.5000000000000001E-4</v>
      </c>
      <c r="U478" s="177">
        <v>99395637.790913954</v>
      </c>
      <c r="V478" s="177">
        <v>92477823.83776556</v>
      </c>
      <c r="Y478" s="177">
        <v>4623891.541564648</v>
      </c>
      <c r="Z478" s="177">
        <v>821977.25173158385</v>
      </c>
      <c r="AA478" s="177">
        <v>1156929.2502657883</v>
      </c>
      <c r="AD478" s="177">
        <v>278940.18803190428</v>
      </c>
      <c r="AF478" s="177">
        <v>36075.721554460171</v>
      </c>
      <c r="AG478" s="177">
        <v>0</v>
      </c>
      <c r="AH478" s="177">
        <v>0</v>
      </c>
      <c r="AI478" s="123"/>
      <c r="AJ478" s="123">
        <v>2.1499999999999998E-2</v>
      </c>
      <c r="AK478" s="177">
        <v>5843153.1158204703</v>
      </c>
    </row>
    <row r="479" spans="1:37">
      <c r="A479" s="391" t="s">
        <v>953</v>
      </c>
      <c r="B479" s="121" t="s">
        <v>954</v>
      </c>
      <c r="C479" s="392" t="s">
        <v>879</v>
      </c>
      <c r="D479" s="121" t="s">
        <v>43</v>
      </c>
      <c r="E479" s="268" t="s">
        <v>621</v>
      </c>
      <c r="F479" s="121" t="s">
        <v>884</v>
      </c>
      <c r="G479" s="240" t="s">
        <v>884</v>
      </c>
      <c r="H479" s="121" t="s">
        <v>45</v>
      </c>
      <c r="I479" s="392" t="s">
        <v>46</v>
      </c>
      <c r="J479" s="177">
        <v>4284771.5433972636</v>
      </c>
      <c r="M479" s="123">
        <v>0.10401431999999999</v>
      </c>
      <c r="N479" s="123" t="s">
        <v>122</v>
      </c>
      <c r="O479" s="229" t="s">
        <v>891</v>
      </c>
      <c r="R479" s="123" t="s">
        <v>886</v>
      </c>
      <c r="S479" s="123">
        <v>2.5000000000000001E-4</v>
      </c>
      <c r="U479" s="177">
        <v>91991.669086066438</v>
      </c>
      <c r="V479" s="177">
        <v>85589.162234451127</v>
      </c>
      <c r="Y479" s="177">
        <v>4279.4584353515775</v>
      </c>
      <c r="Z479" s="177">
        <v>760.74826841624622</v>
      </c>
      <c r="AA479" s="177">
        <v>1070.7497342118793</v>
      </c>
      <c r="AD479" s="177">
        <v>258.16196809576445</v>
      </c>
      <c r="AF479" s="177">
        <v>33.388445539833775</v>
      </c>
      <c r="AG479" s="177">
        <v>0</v>
      </c>
      <c r="AH479" s="177">
        <v>0</v>
      </c>
      <c r="AI479" s="123"/>
      <c r="AJ479" s="123">
        <v>2.1499999999999998E-2</v>
      </c>
      <c r="AK479" s="177">
        <v>5414.8841795298695</v>
      </c>
    </row>
    <row r="480" spans="1:37" ht="25.5">
      <c r="A480" s="391" t="s">
        <v>955</v>
      </c>
      <c r="B480" s="121" t="s">
        <v>956</v>
      </c>
      <c r="C480" s="392" t="s">
        <v>879</v>
      </c>
      <c r="D480" s="121" t="s">
        <v>43</v>
      </c>
      <c r="E480" s="121" t="s">
        <v>44</v>
      </c>
      <c r="F480" s="121" t="s">
        <v>1348</v>
      </c>
      <c r="G480" s="121" t="s">
        <v>97</v>
      </c>
      <c r="H480" s="121" t="s">
        <v>45</v>
      </c>
      <c r="I480" s="392" t="s">
        <v>46</v>
      </c>
      <c r="J480" s="177">
        <v>3295271139.7948256</v>
      </c>
      <c r="M480" s="123">
        <v>5.3133395E-2</v>
      </c>
      <c r="N480" s="123">
        <v>5.7070378000000005E-2</v>
      </c>
      <c r="O480" s="229" t="s">
        <v>957</v>
      </c>
      <c r="P480" s="229" t="s">
        <v>958</v>
      </c>
      <c r="Q480" s="229" t="s">
        <v>444</v>
      </c>
      <c r="R480" s="123" t="s">
        <v>886</v>
      </c>
      <c r="S480" s="123">
        <v>2.9999999999999997E-4</v>
      </c>
      <c r="U480" s="177">
        <v>47066994.079366982</v>
      </c>
      <c r="V480" s="177">
        <v>41159122</v>
      </c>
      <c r="X480" s="177">
        <v>638865.94164104201</v>
      </c>
      <c r="Y480" s="177">
        <v>3289463.687037929</v>
      </c>
      <c r="Z480" s="177">
        <v>817687.91273591714</v>
      </c>
      <c r="AA480" s="177">
        <v>822103.86995292606</v>
      </c>
      <c r="AD480" s="177">
        <v>292888.13928980334</v>
      </c>
      <c r="AF480" s="177">
        <v>46862.528709365004</v>
      </c>
      <c r="AG480" s="177">
        <v>0</v>
      </c>
      <c r="AH480" s="177">
        <v>0</v>
      </c>
      <c r="AI480" s="123"/>
      <c r="AJ480" s="123">
        <v>1.43E-2</v>
      </c>
    </row>
    <row r="481" spans="1:37" ht="25.5">
      <c r="A481" s="391" t="s">
        <v>959</v>
      </c>
      <c r="B481" s="121" t="s">
        <v>960</v>
      </c>
      <c r="C481" s="392" t="s">
        <v>879</v>
      </c>
      <c r="D481" s="121" t="s">
        <v>43</v>
      </c>
      <c r="E481" s="121" t="s">
        <v>44</v>
      </c>
      <c r="F481" s="121" t="s">
        <v>1348</v>
      </c>
      <c r="G481" s="121" t="s">
        <v>97</v>
      </c>
      <c r="H481" s="121" t="s">
        <v>45</v>
      </c>
      <c r="I481" s="392" t="s">
        <v>46</v>
      </c>
      <c r="J481" s="177">
        <v>2176102671.4952292</v>
      </c>
      <c r="M481" s="123">
        <v>3.6929793000000002E-2</v>
      </c>
      <c r="N481" s="123">
        <v>5.7070378000000005E-2</v>
      </c>
      <c r="O481" s="229" t="s">
        <v>916</v>
      </c>
      <c r="P481" s="229" t="s">
        <v>958</v>
      </c>
      <c r="Q481" s="229" t="s">
        <v>444</v>
      </c>
      <c r="R481" s="123" t="s">
        <v>929</v>
      </c>
      <c r="S481" s="123">
        <v>2.9999999999999997E-4</v>
      </c>
      <c r="U481" s="177">
        <v>32953469.899867013</v>
      </c>
      <c r="V481" s="177">
        <v>28178939</v>
      </c>
      <c r="X481" s="177">
        <v>546162.10566051258</v>
      </c>
      <c r="Y481" s="177">
        <v>2166135.5193240545</v>
      </c>
      <c r="Z481" s="177">
        <v>873936.44061693735</v>
      </c>
      <c r="AA481" s="177">
        <v>540680.58755828522</v>
      </c>
      <c r="AD481" s="177">
        <v>610092.17833340447</v>
      </c>
      <c r="AF481" s="177">
        <v>37524.068373816677</v>
      </c>
      <c r="AG481" s="177">
        <v>0</v>
      </c>
      <c r="AH481" s="177">
        <v>0</v>
      </c>
      <c r="AI481" s="123"/>
      <c r="AJ481" s="123">
        <v>1.5100000000000001E-2</v>
      </c>
    </row>
    <row r="482" spans="1:37" ht="25.5">
      <c r="A482" s="391" t="s">
        <v>961</v>
      </c>
      <c r="B482" s="121" t="s">
        <v>962</v>
      </c>
      <c r="C482" s="392" t="s">
        <v>879</v>
      </c>
      <c r="D482" s="121" t="s">
        <v>43</v>
      </c>
      <c r="E482" s="121" t="s">
        <v>44</v>
      </c>
      <c r="F482" s="121" t="s">
        <v>1348</v>
      </c>
      <c r="G482" s="121" t="s">
        <v>97</v>
      </c>
      <c r="H482" s="121" t="s">
        <v>45</v>
      </c>
      <c r="I482" s="392" t="s">
        <v>46</v>
      </c>
      <c r="J482" s="177">
        <v>18805263257.907589</v>
      </c>
      <c r="M482" s="123">
        <v>6.8572691000000005E-2</v>
      </c>
      <c r="N482" s="123">
        <v>5.7070378000000005E-2</v>
      </c>
      <c r="O482" s="229" t="s">
        <v>957</v>
      </c>
      <c r="P482" s="229" t="s">
        <v>958</v>
      </c>
      <c r="Q482" s="229" t="s">
        <v>444</v>
      </c>
      <c r="R482" s="123" t="s">
        <v>886</v>
      </c>
      <c r="S482" s="123">
        <v>2.9999999999999997E-4</v>
      </c>
      <c r="U482" s="177">
        <v>276406996.15386856</v>
      </c>
      <c r="V482" s="177">
        <v>247602034</v>
      </c>
      <c r="X482" s="177">
        <v>3945418.7852160325</v>
      </c>
      <c r="Y482" s="177">
        <v>18833494.50770779</v>
      </c>
      <c r="Z482" s="177">
        <v>823331.18373918196</v>
      </c>
      <c r="AA482" s="177">
        <v>4694068.2517283969</v>
      </c>
      <c r="AD482" s="177">
        <v>488524.59389174881</v>
      </c>
      <c r="AF482" s="177">
        <v>20124.831585380249</v>
      </c>
      <c r="AG482" s="177">
        <v>0</v>
      </c>
      <c r="AH482" s="177">
        <v>0</v>
      </c>
      <c r="AI482" s="123"/>
      <c r="AJ482" s="123">
        <v>1.47E-2</v>
      </c>
    </row>
    <row r="483" spans="1:37">
      <c r="A483" s="391" t="s">
        <v>963</v>
      </c>
      <c r="B483" s="121" t="s">
        <v>964</v>
      </c>
      <c r="C483" s="392" t="s">
        <v>879</v>
      </c>
      <c r="D483" s="121" t="s">
        <v>43</v>
      </c>
      <c r="E483" s="121" t="s">
        <v>44</v>
      </c>
      <c r="F483" s="121" t="s">
        <v>1348</v>
      </c>
      <c r="G483" s="246" t="s">
        <v>365</v>
      </c>
      <c r="H483" s="121" t="s">
        <v>45</v>
      </c>
      <c r="I483" s="121" t="s">
        <v>46</v>
      </c>
      <c r="J483" s="177">
        <v>107049894.76712328</v>
      </c>
      <c r="M483" s="123"/>
      <c r="N483" s="123"/>
      <c r="O483" s="396">
        <v>2.3500000000000001E-3</v>
      </c>
      <c r="R483" s="123" t="s">
        <v>965</v>
      </c>
      <c r="S483" s="123">
        <v>2.5000000000000001E-4</v>
      </c>
      <c r="U483" s="177">
        <v>326654</v>
      </c>
      <c r="V483" s="177">
        <v>251542</v>
      </c>
      <c r="Y483" s="177">
        <v>42814</v>
      </c>
      <c r="AA483" s="177">
        <v>28000</v>
      </c>
      <c r="AD483" s="177">
        <v>3000</v>
      </c>
      <c r="AF483" s="177">
        <v>1298</v>
      </c>
      <c r="AG483" s="177">
        <v>0</v>
      </c>
      <c r="AH483" s="177">
        <v>0</v>
      </c>
      <c r="AI483" s="123"/>
      <c r="AJ483" s="123">
        <v>3.0999999999999999E-3</v>
      </c>
    </row>
    <row r="484" spans="1:37">
      <c r="A484" s="391" t="s">
        <v>966</v>
      </c>
      <c r="B484" s="121" t="s">
        <v>967</v>
      </c>
      <c r="C484" s="392" t="s">
        <v>879</v>
      </c>
      <c r="D484" s="121" t="s">
        <v>43</v>
      </c>
      <c r="E484" s="121" t="s">
        <v>44</v>
      </c>
      <c r="F484" s="121" t="s">
        <v>1348</v>
      </c>
      <c r="G484" s="121" t="s">
        <v>97</v>
      </c>
      <c r="H484" s="121" t="s">
        <v>45</v>
      </c>
      <c r="I484" s="121" t="s">
        <v>46</v>
      </c>
      <c r="J484" s="177">
        <v>5368226973.3890409</v>
      </c>
      <c r="M484" s="123"/>
      <c r="N484" s="123"/>
      <c r="O484" s="229">
        <v>3.0000000000000001E-3</v>
      </c>
      <c r="R484" s="123" t="s">
        <v>965</v>
      </c>
      <c r="S484" s="123">
        <v>2.5000000000000001E-4</v>
      </c>
      <c r="U484" s="177">
        <v>17499423.07</v>
      </c>
      <c r="V484" s="177">
        <v>13106131</v>
      </c>
      <c r="Y484" s="177">
        <v>2330221</v>
      </c>
      <c r="AA484" s="177">
        <v>1342082</v>
      </c>
      <c r="AD484" s="177">
        <v>720989.07</v>
      </c>
      <c r="AF484" s="177">
        <v>0</v>
      </c>
      <c r="AG484" s="177">
        <v>0</v>
      </c>
      <c r="AH484" s="177">
        <v>0</v>
      </c>
      <c r="AI484" s="123"/>
      <c r="AJ484" s="123">
        <v>3.3E-3</v>
      </c>
    </row>
    <row r="485" spans="1:37">
      <c r="A485" s="26" t="s">
        <v>968</v>
      </c>
      <c r="B485" s="397" t="s">
        <v>969</v>
      </c>
      <c r="C485" s="397" t="s">
        <v>970</v>
      </c>
      <c r="D485" s="121" t="s">
        <v>43</v>
      </c>
      <c r="E485" s="121" t="s">
        <v>44</v>
      </c>
      <c r="F485" s="121" t="s">
        <v>1348</v>
      </c>
      <c r="G485" s="246" t="s">
        <v>365</v>
      </c>
      <c r="H485" s="121" t="s">
        <v>45</v>
      </c>
      <c r="I485" s="121" t="s">
        <v>46</v>
      </c>
      <c r="J485" s="198">
        <v>965007130</v>
      </c>
      <c r="K485" s="198">
        <v>0</v>
      </c>
      <c r="L485" s="121" t="s">
        <v>92</v>
      </c>
      <c r="M485" s="398">
        <v>2.8929976598863316E-2</v>
      </c>
      <c r="N485" s="398">
        <v>6.1368546131514989E-2</v>
      </c>
      <c r="O485" s="229">
        <v>8.0000000000000002E-3</v>
      </c>
      <c r="P485" s="229">
        <v>0</v>
      </c>
      <c r="Q485" s="229" t="s">
        <v>971</v>
      </c>
      <c r="R485" s="230">
        <v>2.2499999999999998E-3</v>
      </c>
      <c r="S485" s="399">
        <v>5.0000000000000001E-3</v>
      </c>
      <c r="T485" s="399" t="s">
        <v>92</v>
      </c>
      <c r="U485" s="180">
        <v>17127495</v>
      </c>
      <c r="V485" s="180">
        <v>7886287</v>
      </c>
      <c r="W485" s="400">
        <v>0</v>
      </c>
      <c r="X485" s="180">
        <v>547162</v>
      </c>
      <c r="Y485" s="180">
        <v>2179545</v>
      </c>
      <c r="Z485" s="180">
        <v>1524000</v>
      </c>
      <c r="AA485" s="180">
        <v>241233</v>
      </c>
      <c r="AB485" s="180">
        <v>4159218</v>
      </c>
      <c r="AC485" s="180">
        <v>0</v>
      </c>
      <c r="AD485" s="180">
        <v>435074</v>
      </c>
      <c r="AE485" s="180">
        <v>0</v>
      </c>
      <c r="AF485" s="180">
        <v>154976</v>
      </c>
      <c r="AG485" s="180">
        <v>0</v>
      </c>
      <c r="AH485" s="180">
        <f>U485-V485-Y485-Z485-AA485-AB485-AD485-AF485-AG485-X485</f>
        <v>0</v>
      </c>
      <c r="AI485" s="128">
        <v>0</v>
      </c>
      <c r="AJ485" s="161">
        <v>1.7100000000000001E-2</v>
      </c>
      <c r="AK485" s="177">
        <v>0</v>
      </c>
    </row>
    <row r="486" spans="1:37">
      <c r="A486" s="26" t="s">
        <v>972</v>
      </c>
      <c r="B486" s="397" t="s">
        <v>973</v>
      </c>
      <c r="C486" s="397" t="s">
        <v>970</v>
      </c>
      <c r="D486" s="121" t="s">
        <v>43</v>
      </c>
      <c r="E486" s="121" t="s">
        <v>44</v>
      </c>
      <c r="F486" s="121" t="s">
        <v>1348</v>
      </c>
      <c r="G486" s="121" t="s">
        <v>759</v>
      </c>
      <c r="H486" s="121" t="s">
        <v>45</v>
      </c>
      <c r="I486" s="121" t="s">
        <v>46</v>
      </c>
      <c r="J486" s="198">
        <v>371841414</v>
      </c>
      <c r="K486" s="198">
        <v>0</v>
      </c>
      <c r="L486" s="121" t="s">
        <v>92</v>
      </c>
      <c r="M486" s="398">
        <v>4.3091090743234473E-2</v>
      </c>
      <c r="N486" s="398">
        <v>6.335468389127108E-2</v>
      </c>
      <c r="O486" s="229">
        <v>5.0000000000000001E-3</v>
      </c>
      <c r="P486" s="229">
        <v>0</v>
      </c>
      <c r="Q486" s="229" t="s">
        <v>971</v>
      </c>
      <c r="R486" s="123">
        <v>2.5000000000000001E-3</v>
      </c>
      <c r="S486" s="399">
        <v>5.0000000000000001E-3</v>
      </c>
      <c r="T486" s="399" t="s">
        <v>92</v>
      </c>
      <c r="U486" s="180">
        <v>5775647</v>
      </c>
      <c r="V486" s="180">
        <v>1916259</v>
      </c>
      <c r="W486" s="400">
        <v>0</v>
      </c>
      <c r="X486" s="180">
        <v>189209</v>
      </c>
      <c r="Y486" s="180">
        <v>934483</v>
      </c>
      <c r="Z486" s="180">
        <v>914400</v>
      </c>
      <c r="AA486" s="180">
        <v>92959</v>
      </c>
      <c r="AB486" s="180">
        <v>1632430</v>
      </c>
      <c r="AC486" s="180">
        <v>0</v>
      </c>
      <c r="AD486" s="180">
        <v>61054</v>
      </c>
      <c r="AE486" s="180">
        <v>0</v>
      </c>
      <c r="AF486" s="180">
        <v>34853</v>
      </c>
      <c r="AG486" s="180">
        <v>0</v>
      </c>
      <c r="AH486" s="180">
        <v>0</v>
      </c>
      <c r="AI486" s="128">
        <v>0</v>
      </c>
      <c r="AJ486" s="161">
        <v>1.5299999999999999E-2</v>
      </c>
      <c r="AK486" s="177">
        <v>0</v>
      </c>
    </row>
    <row r="487" spans="1:37">
      <c r="A487" s="26" t="s">
        <v>974</v>
      </c>
      <c r="B487" s="397" t="s">
        <v>975</v>
      </c>
      <c r="C487" s="397" t="s">
        <v>970</v>
      </c>
      <c r="D487" s="121" t="s">
        <v>43</v>
      </c>
      <c r="E487" s="121" t="s">
        <v>44</v>
      </c>
      <c r="F487" s="121" t="s">
        <v>1348</v>
      </c>
      <c r="G487" s="121" t="s">
        <v>830</v>
      </c>
      <c r="H487" s="121" t="s">
        <v>45</v>
      </c>
      <c r="I487" s="121" t="s">
        <v>46</v>
      </c>
      <c r="J487" s="198">
        <v>150500254</v>
      </c>
      <c r="K487" s="198">
        <v>0</v>
      </c>
      <c r="L487" s="121" t="s">
        <v>92</v>
      </c>
      <c r="M487" s="398">
        <v>1.000667245079323E-2</v>
      </c>
      <c r="N487" s="398">
        <v>3.1486239584187503E-2</v>
      </c>
      <c r="O487" s="229">
        <v>1.4999999999999999E-2</v>
      </c>
      <c r="P487" s="229">
        <v>0</v>
      </c>
      <c r="Q487" s="229" t="s">
        <v>971</v>
      </c>
      <c r="R487" s="401" t="s">
        <v>976</v>
      </c>
      <c r="S487" s="399">
        <v>7.4999999999999997E-3</v>
      </c>
      <c r="T487" s="399" t="s">
        <v>92</v>
      </c>
      <c r="U487" s="180">
        <v>5120656</v>
      </c>
      <c r="V487" s="180">
        <v>2293627</v>
      </c>
      <c r="W487" s="400">
        <v>0</v>
      </c>
      <c r="X487" s="180">
        <v>90435</v>
      </c>
      <c r="Y487" s="180">
        <v>720000</v>
      </c>
      <c r="Z487" s="180">
        <v>381000</v>
      </c>
      <c r="AA487" s="180">
        <v>37634</v>
      </c>
      <c r="AB487" s="180">
        <v>965924</v>
      </c>
      <c r="AC487" s="180">
        <v>0</v>
      </c>
      <c r="AD487" s="180">
        <f>25374+538387+10850</f>
        <v>574611</v>
      </c>
      <c r="AE487" s="180">
        <v>0</v>
      </c>
      <c r="AF487" s="180">
        <v>57425</v>
      </c>
      <c r="AG487" s="180">
        <v>0</v>
      </c>
      <c r="AH487" s="180">
        <f t="shared" ref="AH487:AH489" si="13">U487-V487-Y487-Z487-AA487-AB487-AD487-AF487-AG487-X487</f>
        <v>0</v>
      </c>
      <c r="AI487" s="128">
        <v>0</v>
      </c>
      <c r="AJ487" s="161">
        <v>2.98E-2</v>
      </c>
      <c r="AK487" s="177">
        <v>0</v>
      </c>
    </row>
    <row r="488" spans="1:37">
      <c r="A488" s="26" t="s">
        <v>977</v>
      </c>
      <c r="B488" s="397" t="s">
        <v>978</v>
      </c>
      <c r="C488" s="397" t="s">
        <v>970</v>
      </c>
      <c r="D488" s="121" t="s">
        <v>43</v>
      </c>
      <c r="E488" s="121" t="s">
        <v>44</v>
      </c>
      <c r="F488" s="121" t="s">
        <v>1348</v>
      </c>
      <c r="G488" s="121" t="s">
        <v>88</v>
      </c>
      <c r="H488" s="121" t="s">
        <v>45</v>
      </c>
      <c r="I488" s="121" t="s">
        <v>46</v>
      </c>
      <c r="J488" s="198">
        <v>126586590</v>
      </c>
      <c r="K488" s="198">
        <v>0</v>
      </c>
      <c r="L488" s="121" t="s">
        <v>92</v>
      </c>
      <c r="M488" s="398">
        <v>-7.2223276939774594E-3</v>
      </c>
      <c r="N488" s="398">
        <v>6.335468389127108E-2</v>
      </c>
      <c r="O488" s="229">
        <v>0.01</v>
      </c>
      <c r="P488" s="229">
        <v>0</v>
      </c>
      <c r="Q488" s="229" t="s">
        <v>971</v>
      </c>
      <c r="R488" s="123">
        <v>2E-3</v>
      </c>
      <c r="S488" s="399">
        <v>5.0000000000000001E-3</v>
      </c>
      <c r="T488" s="399" t="s">
        <v>92</v>
      </c>
      <c r="U488" s="180">
        <v>3263115</v>
      </c>
      <c r="V488" s="180">
        <v>1289359</v>
      </c>
      <c r="W488" s="400">
        <v>0</v>
      </c>
      <c r="X488" s="180">
        <v>64615</v>
      </c>
      <c r="Y488" s="180">
        <v>254638</v>
      </c>
      <c r="Z488" s="180">
        <v>762000</v>
      </c>
      <c r="AA488" s="180">
        <v>31645</v>
      </c>
      <c r="AB488" s="180">
        <v>555821</v>
      </c>
      <c r="AC488" s="180">
        <v>0</v>
      </c>
      <c r="AD488" s="180">
        <v>277700</v>
      </c>
      <c r="AE488" s="180">
        <v>0</v>
      </c>
      <c r="AF488" s="180">
        <v>27337</v>
      </c>
      <c r="AG488" s="180">
        <v>0</v>
      </c>
      <c r="AH488" s="180">
        <f t="shared" si="13"/>
        <v>0</v>
      </c>
      <c r="AI488" s="128">
        <v>0</v>
      </c>
      <c r="AJ488" s="129">
        <v>2.3400000000000001E-2</v>
      </c>
      <c r="AK488" s="177">
        <v>0</v>
      </c>
    </row>
    <row r="489" spans="1:37">
      <c r="A489" s="26" t="s">
        <v>979</v>
      </c>
      <c r="B489" s="397" t="s">
        <v>980</v>
      </c>
      <c r="C489" s="397" t="s">
        <v>970</v>
      </c>
      <c r="D489" s="121" t="s">
        <v>43</v>
      </c>
      <c r="E489" s="121" t="s">
        <v>44</v>
      </c>
      <c r="F489" s="121" t="s">
        <v>1348</v>
      </c>
      <c r="G489" s="121" t="s">
        <v>61</v>
      </c>
      <c r="H489" s="121" t="s">
        <v>45</v>
      </c>
      <c r="I489" s="121" t="s">
        <v>46</v>
      </c>
      <c r="J489" s="198">
        <v>261850195</v>
      </c>
      <c r="K489" s="198">
        <v>0</v>
      </c>
      <c r="L489" s="121" t="s">
        <v>92</v>
      </c>
      <c r="M489" s="398">
        <v>3.5738858972245158E-3</v>
      </c>
      <c r="N489" s="398">
        <v>1.0330772704661317E-2</v>
      </c>
      <c r="O489" s="229">
        <v>0.01</v>
      </c>
      <c r="P489" s="229">
        <v>0</v>
      </c>
      <c r="Q489" s="229" t="s">
        <v>971</v>
      </c>
      <c r="R489" s="123">
        <v>2E-3</v>
      </c>
      <c r="S489" s="399">
        <v>5.0000000000000001E-3</v>
      </c>
      <c r="T489" s="399" t="s">
        <v>92</v>
      </c>
      <c r="U489" s="180">
        <v>6311852</v>
      </c>
      <c r="V489" s="180">
        <v>2647028</v>
      </c>
      <c r="W489" s="400">
        <v>0</v>
      </c>
      <c r="X489" s="180">
        <v>74409</v>
      </c>
      <c r="Y489" s="180">
        <v>525688</v>
      </c>
      <c r="Z489" s="180">
        <v>1371600</v>
      </c>
      <c r="AA489" s="180">
        <v>65088</v>
      </c>
      <c r="AB489" s="180">
        <v>1221196</v>
      </c>
      <c r="AC489" s="180">
        <v>0</v>
      </c>
      <c r="AD489" s="180">
        <v>342925</v>
      </c>
      <c r="AE489" s="180">
        <v>0</v>
      </c>
      <c r="AF489" s="180">
        <v>63918</v>
      </c>
      <c r="AG489" s="180">
        <v>0</v>
      </c>
      <c r="AH489" s="180">
        <f t="shared" si="13"/>
        <v>0</v>
      </c>
      <c r="AI489" s="128">
        <v>0</v>
      </c>
      <c r="AJ489" s="129">
        <v>2.2599999999999999E-2</v>
      </c>
      <c r="AK489" s="177">
        <v>0</v>
      </c>
    </row>
    <row r="490" spans="1:37">
      <c r="A490" s="26" t="s">
        <v>981</v>
      </c>
      <c r="B490" s="397" t="s">
        <v>982</v>
      </c>
      <c r="C490" s="397" t="s">
        <v>970</v>
      </c>
      <c r="D490" s="121" t="s">
        <v>43</v>
      </c>
      <c r="E490" s="121" t="s">
        <v>44</v>
      </c>
      <c r="F490" s="121" t="s">
        <v>132</v>
      </c>
      <c r="G490" s="121" t="s">
        <v>116</v>
      </c>
      <c r="H490" s="121" t="s">
        <v>45</v>
      </c>
      <c r="I490" s="121" t="s">
        <v>46</v>
      </c>
      <c r="J490" s="198">
        <v>1505147645</v>
      </c>
      <c r="K490" s="198">
        <v>0</v>
      </c>
      <c r="L490" s="121" t="s">
        <v>92</v>
      </c>
      <c r="M490" s="398">
        <v>3.8726920664355902E-3</v>
      </c>
      <c r="N490" s="398">
        <v>-5.2015678163427337E-3</v>
      </c>
      <c r="O490" s="229">
        <v>0.02</v>
      </c>
      <c r="P490" s="229">
        <v>0</v>
      </c>
      <c r="Q490" s="229" t="s">
        <v>971</v>
      </c>
      <c r="R490" s="123">
        <v>2E-3</v>
      </c>
      <c r="S490" s="399">
        <v>5.0000000000000001E-3</v>
      </c>
      <c r="T490" s="399" t="s">
        <v>92</v>
      </c>
      <c r="U490" s="180">
        <v>71290804</v>
      </c>
      <c r="V490" s="180">
        <v>30104225</v>
      </c>
      <c r="W490" s="400">
        <v>0</v>
      </c>
      <c r="X490" s="180">
        <v>0</v>
      </c>
      <c r="Y490" s="180">
        <v>3010416</v>
      </c>
      <c r="Z490" s="180">
        <v>2640230</v>
      </c>
      <c r="AA490" s="180">
        <v>376190</v>
      </c>
      <c r="AB490" s="180">
        <f>29700+7571661</f>
        <v>7601361</v>
      </c>
      <c r="AC490" s="180">
        <v>4800419</v>
      </c>
      <c r="AD490" s="180">
        <v>83956</v>
      </c>
      <c r="AE490" s="180">
        <v>0</v>
      </c>
      <c r="AF490" s="180">
        <v>173724</v>
      </c>
      <c r="AG490" s="180">
        <f>9377068+727294+8834266</f>
        <v>18938628</v>
      </c>
      <c r="AH490" s="180">
        <f>U490-V490-Y490-Z490-AA490-AB490-AD490-AF490-AG490-X490-AC490</f>
        <v>3561655</v>
      </c>
      <c r="AI490" s="128">
        <v>0</v>
      </c>
      <c r="AJ490" s="129">
        <v>3.3500000000000002E-2</v>
      </c>
      <c r="AK490" s="177">
        <v>0</v>
      </c>
    </row>
    <row r="491" spans="1:37">
      <c r="A491" s="109" t="s">
        <v>983</v>
      </c>
      <c r="B491" s="60" t="s">
        <v>984</v>
      </c>
      <c r="C491" s="60" t="s">
        <v>985</v>
      </c>
      <c r="D491" s="43" t="s">
        <v>43</v>
      </c>
      <c r="E491" s="43" t="s">
        <v>44</v>
      </c>
      <c r="F491" s="43" t="s">
        <v>1348</v>
      </c>
      <c r="G491" s="203" t="s">
        <v>641</v>
      </c>
      <c r="H491" s="43" t="s">
        <v>45</v>
      </c>
      <c r="I491" s="61" t="s">
        <v>46</v>
      </c>
      <c r="J491" s="402">
        <v>803882</v>
      </c>
      <c r="K491" s="403" t="s">
        <v>122</v>
      </c>
      <c r="L491" s="60" t="s">
        <v>122</v>
      </c>
      <c r="M491" s="170">
        <v>4.3355677719756007E-2</v>
      </c>
      <c r="N491" s="404"/>
      <c r="O491" s="217" t="s">
        <v>219</v>
      </c>
      <c r="P491" s="218" t="s">
        <v>122</v>
      </c>
      <c r="Q491" s="405"/>
      <c r="R491" s="62">
        <v>3.5000000000000001E-3</v>
      </c>
      <c r="S491" s="63">
        <v>4.8329999999999998E-4</v>
      </c>
      <c r="T491" s="254" t="s">
        <v>122</v>
      </c>
      <c r="U491" s="64">
        <v>10721</v>
      </c>
      <c r="V491" s="64">
        <v>8008</v>
      </c>
      <c r="W491" s="64" t="s">
        <v>122</v>
      </c>
      <c r="X491" s="64" t="s">
        <v>122</v>
      </c>
      <c r="Y491" s="64">
        <v>283</v>
      </c>
      <c r="Z491" s="64">
        <v>1894</v>
      </c>
      <c r="AA491" s="64">
        <v>202</v>
      </c>
      <c r="AB491" s="64" t="s">
        <v>122</v>
      </c>
      <c r="AC491" s="64" t="s">
        <v>122</v>
      </c>
      <c r="AD491" s="64">
        <v>0</v>
      </c>
      <c r="AE491" s="64">
        <v>0</v>
      </c>
      <c r="AF491" s="64">
        <v>56</v>
      </c>
      <c r="AG491" s="64" t="s">
        <v>122</v>
      </c>
      <c r="AH491" s="64">
        <v>278</v>
      </c>
      <c r="AI491" s="62">
        <v>0</v>
      </c>
      <c r="AJ491" s="170">
        <v>1.37E-2</v>
      </c>
      <c r="AK491" s="64">
        <v>0</v>
      </c>
    </row>
    <row r="492" spans="1:37">
      <c r="A492" s="110" t="s">
        <v>986</v>
      </c>
      <c r="B492" s="65" t="s">
        <v>987</v>
      </c>
      <c r="C492" s="65" t="s">
        <v>985</v>
      </c>
      <c r="D492" s="803" t="s">
        <v>43</v>
      </c>
      <c r="E492" s="803" t="s">
        <v>44</v>
      </c>
      <c r="F492" s="803" t="s">
        <v>1348</v>
      </c>
      <c r="G492" s="803" t="s">
        <v>641</v>
      </c>
      <c r="H492" s="803" t="s">
        <v>45</v>
      </c>
      <c r="I492" s="65" t="s">
        <v>46</v>
      </c>
      <c r="J492" s="406">
        <v>13150384</v>
      </c>
      <c r="K492" s="70" t="s">
        <v>122</v>
      </c>
      <c r="L492" s="65" t="s">
        <v>122</v>
      </c>
      <c r="M492" s="172">
        <v>3.0658573078242581E-2</v>
      </c>
      <c r="N492" s="169"/>
      <c r="O492" s="219" t="s">
        <v>219</v>
      </c>
      <c r="P492" s="218" t="s">
        <v>122</v>
      </c>
      <c r="Q492" s="407" t="s">
        <v>122</v>
      </c>
      <c r="R492" s="790">
        <v>3.5000000000000001E-3</v>
      </c>
      <c r="S492" s="789">
        <v>4.8329999999999998E-4</v>
      </c>
      <c r="T492" s="66" t="s">
        <v>122</v>
      </c>
      <c r="U492" s="774">
        <v>204705</v>
      </c>
      <c r="V492" s="774">
        <v>192450</v>
      </c>
      <c r="W492" s="67" t="s">
        <v>122</v>
      </c>
      <c r="X492" s="67" t="s">
        <v>122</v>
      </c>
      <c r="Y492" s="774">
        <v>5071</v>
      </c>
      <c r="Z492" s="774">
        <v>1637</v>
      </c>
      <c r="AA492" s="774">
        <v>3607</v>
      </c>
      <c r="AB492" s="777" t="s">
        <v>122</v>
      </c>
      <c r="AC492" s="777" t="s">
        <v>122</v>
      </c>
      <c r="AD492" s="774">
        <v>32</v>
      </c>
      <c r="AE492" s="774">
        <v>32</v>
      </c>
      <c r="AF492" s="774">
        <v>35</v>
      </c>
      <c r="AG492" s="777" t="s">
        <v>122</v>
      </c>
      <c r="AH492" s="774">
        <v>1873</v>
      </c>
      <c r="AI492" s="790">
        <v>0</v>
      </c>
      <c r="AJ492" s="171">
        <v>1.1900000000000001E-2</v>
      </c>
      <c r="AK492" s="774">
        <v>0</v>
      </c>
    </row>
    <row r="493" spans="1:37">
      <c r="A493" s="110" t="s">
        <v>988</v>
      </c>
      <c r="B493" s="65" t="s">
        <v>989</v>
      </c>
      <c r="C493" s="65" t="s">
        <v>985</v>
      </c>
      <c r="D493" s="781"/>
      <c r="E493" s="781"/>
      <c r="F493" s="781"/>
      <c r="G493" s="781"/>
      <c r="H493" s="781"/>
      <c r="I493" s="65" t="s">
        <v>46</v>
      </c>
      <c r="J493" s="406">
        <v>123244</v>
      </c>
      <c r="K493" s="70" t="s">
        <v>122</v>
      </c>
      <c r="L493" s="65" t="s">
        <v>122</v>
      </c>
      <c r="M493" s="172">
        <v>3.0658741951461076E-2</v>
      </c>
      <c r="N493" s="169"/>
      <c r="O493" s="219" t="s">
        <v>990</v>
      </c>
      <c r="P493" s="220" t="s">
        <v>122</v>
      </c>
      <c r="Q493" s="407" t="s">
        <v>122</v>
      </c>
      <c r="R493" s="783"/>
      <c r="S493" s="785"/>
      <c r="T493" s="69" t="s">
        <v>122</v>
      </c>
      <c r="U493" s="775"/>
      <c r="V493" s="775"/>
      <c r="W493" s="70" t="s">
        <v>122</v>
      </c>
      <c r="X493" s="70" t="s">
        <v>122</v>
      </c>
      <c r="Y493" s="775"/>
      <c r="Z493" s="775"/>
      <c r="AA493" s="775"/>
      <c r="AB493" s="778"/>
      <c r="AC493" s="778"/>
      <c r="AD493" s="775"/>
      <c r="AE493" s="775"/>
      <c r="AF493" s="775"/>
      <c r="AG493" s="778"/>
      <c r="AH493" s="775"/>
      <c r="AI493" s="783"/>
      <c r="AJ493" s="172">
        <v>1.55E-2</v>
      </c>
      <c r="AK493" s="775"/>
    </row>
    <row r="494" spans="1:37">
      <c r="A494" s="110" t="s">
        <v>991</v>
      </c>
      <c r="B494" s="65" t="s">
        <v>992</v>
      </c>
      <c r="C494" s="65" t="s">
        <v>985</v>
      </c>
      <c r="D494" s="782"/>
      <c r="E494" s="782"/>
      <c r="F494" s="782"/>
      <c r="G494" s="782"/>
      <c r="H494" s="782"/>
      <c r="I494" s="65" t="s">
        <v>46</v>
      </c>
      <c r="J494" s="73">
        <v>1154250</v>
      </c>
      <c r="K494" s="70" t="s">
        <v>122</v>
      </c>
      <c r="L494" s="65" t="s">
        <v>122</v>
      </c>
      <c r="M494" s="173">
        <v>4.58E-2</v>
      </c>
      <c r="N494" s="408"/>
      <c r="O494" s="221">
        <v>0</v>
      </c>
      <c r="P494" s="222" t="s">
        <v>122</v>
      </c>
      <c r="Q494" s="407" t="s">
        <v>122</v>
      </c>
      <c r="R494" s="784"/>
      <c r="S494" s="786"/>
      <c r="T494" s="69" t="s">
        <v>122</v>
      </c>
      <c r="U494" s="776"/>
      <c r="V494" s="776"/>
      <c r="W494" s="70" t="s">
        <v>122</v>
      </c>
      <c r="X494" s="70" t="s">
        <v>122</v>
      </c>
      <c r="Y494" s="776"/>
      <c r="Z494" s="776"/>
      <c r="AA494" s="776"/>
      <c r="AB494" s="779"/>
      <c r="AC494" s="779"/>
      <c r="AD494" s="776"/>
      <c r="AE494" s="776"/>
      <c r="AF494" s="776"/>
      <c r="AG494" s="779"/>
      <c r="AH494" s="776"/>
      <c r="AI494" s="784"/>
      <c r="AJ494" s="173">
        <v>1E-3</v>
      </c>
      <c r="AK494" s="776"/>
    </row>
    <row r="495" spans="1:37" ht="165.75">
      <c r="A495" s="111" t="s">
        <v>993</v>
      </c>
      <c r="B495" s="74" t="s">
        <v>994</v>
      </c>
      <c r="C495" s="74" t="s">
        <v>985</v>
      </c>
      <c r="D495" s="780" t="s">
        <v>43</v>
      </c>
      <c r="E495" s="780" t="s">
        <v>44</v>
      </c>
      <c r="F495" s="780" t="s">
        <v>55</v>
      </c>
      <c r="G495" s="787" t="s">
        <v>830</v>
      </c>
      <c r="H495" s="780" t="s">
        <v>62</v>
      </c>
      <c r="I495" s="74" t="s">
        <v>46</v>
      </c>
      <c r="J495" s="406">
        <v>1786552</v>
      </c>
      <c r="K495" s="67" t="s">
        <v>122</v>
      </c>
      <c r="L495" s="74" t="s">
        <v>122</v>
      </c>
      <c r="M495" s="172">
        <v>2.6677378944282223E-2</v>
      </c>
      <c r="N495" s="169"/>
      <c r="O495" s="220" t="s">
        <v>219</v>
      </c>
      <c r="P495" s="223" t="s">
        <v>995</v>
      </c>
      <c r="Q495" s="224" t="s">
        <v>996</v>
      </c>
      <c r="R495" s="790">
        <v>3.5000000000000001E-3</v>
      </c>
      <c r="S495" s="789">
        <v>4.8329999999999998E-4</v>
      </c>
      <c r="T495" s="66" t="s">
        <v>122</v>
      </c>
      <c r="U495" s="774">
        <v>26669</v>
      </c>
      <c r="V495" s="774">
        <v>22715</v>
      </c>
      <c r="W495" s="67" t="s">
        <v>122</v>
      </c>
      <c r="X495" s="67" t="s">
        <v>122</v>
      </c>
      <c r="Y495" s="774">
        <v>739</v>
      </c>
      <c r="Z495" s="774">
        <v>869</v>
      </c>
      <c r="AA495" s="774">
        <v>528</v>
      </c>
      <c r="AB495" s="777" t="s">
        <v>122</v>
      </c>
      <c r="AC495" s="777" t="s">
        <v>122</v>
      </c>
      <c r="AD495" s="774">
        <v>1322</v>
      </c>
      <c r="AE495" s="774">
        <v>1322</v>
      </c>
      <c r="AF495" s="774">
        <v>36</v>
      </c>
      <c r="AG495" s="777" t="s">
        <v>122</v>
      </c>
      <c r="AH495" s="774">
        <v>460</v>
      </c>
      <c r="AI495" s="790">
        <v>4.0000000000000001E-3</v>
      </c>
      <c r="AJ495" s="172">
        <v>1.54E-2</v>
      </c>
      <c r="AK495" s="774">
        <v>0</v>
      </c>
    </row>
    <row r="496" spans="1:37">
      <c r="A496" s="112" t="s">
        <v>997</v>
      </c>
      <c r="B496" s="75" t="s">
        <v>998</v>
      </c>
      <c r="C496" s="75" t="s">
        <v>985</v>
      </c>
      <c r="D496" s="791"/>
      <c r="E496" s="791"/>
      <c r="F496" s="791"/>
      <c r="G496" s="792"/>
      <c r="H496" s="791"/>
      <c r="I496" s="75" t="s">
        <v>46</v>
      </c>
      <c r="J496" s="406">
        <v>322503</v>
      </c>
      <c r="K496" s="76" t="s">
        <v>122</v>
      </c>
      <c r="L496" s="75" t="s">
        <v>122</v>
      </c>
      <c r="M496" s="173">
        <v>2.1514725002840331E-2</v>
      </c>
      <c r="N496" s="408"/>
      <c r="O496" s="222" t="s">
        <v>990</v>
      </c>
      <c r="P496" s="220" t="s">
        <v>122</v>
      </c>
      <c r="Q496" s="225" t="s">
        <v>122</v>
      </c>
      <c r="R496" s="784"/>
      <c r="S496" s="786"/>
      <c r="T496" s="69" t="s">
        <v>122</v>
      </c>
      <c r="U496" s="776"/>
      <c r="V496" s="776"/>
      <c r="W496" s="70" t="s">
        <v>122</v>
      </c>
      <c r="X496" s="70" t="s">
        <v>122</v>
      </c>
      <c r="Y496" s="776"/>
      <c r="Z496" s="776"/>
      <c r="AA496" s="776"/>
      <c r="AB496" s="779"/>
      <c r="AC496" s="779"/>
      <c r="AD496" s="776"/>
      <c r="AE496" s="776"/>
      <c r="AF496" s="776"/>
      <c r="AG496" s="779"/>
      <c r="AH496" s="776"/>
      <c r="AI496" s="784"/>
      <c r="AJ496" s="173">
        <v>2.0400000000000001E-2</v>
      </c>
      <c r="AK496" s="776"/>
    </row>
    <row r="497" spans="1:37">
      <c r="A497" s="110" t="s">
        <v>999</v>
      </c>
      <c r="B497" s="65" t="s">
        <v>1000</v>
      </c>
      <c r="C497" s="65" t="s">
        <v>985</v>
      </c>
      <c r="D497" s="780" t="s">
        <v>43</v>
      </c>
      <c r="E497" s="780" t="s">
        <v>44</v>
      </c>
      <c r="F497" s="780" t="s">
        <v>55</v>
      </c>
      <c r="G497" s="787" t="s">
        <v>58</v>
      </c>
      <c r="H497" s="780" t="s">
        <v>62</v>
      </c>
      <c r="I497" s="65" t="s">
        <v>239</v>
      </c>
      <c r="J497" s="68">
        <v>8326660</v>
      </c>
      <c r="K497" s="70" t="s">
        <v>122</v>
      </c>
      <c r="L497" s="65" t="s">
        <v>122</v>
      </c>
      <c r="M497" s="172">
        <v>-0.13102518489823584</v>
      </c>
      <c r="N497" s="169">
        <v>-0.13280124230998566</v>
      </c>
      <c r="O497" s="219" t="s">
        <v>219</v>
      </c>
      <c r="P497" s="218" t="s">
        <v>122</v>
      </c>
      <c r="Q497" s="407" t="s">
        <v>122</v>
      </c>
      <c r="R497" s="783">
        <v>3.5000000000000001E-3</v>
      </c>
      <c r="S497" s="789">
        <v>4.8329999999999998E-4</v>
      </c>
      <c r="T497" s="66" t="s">
        <v>122</v>
      </c>
      <c r="U497" s="774">
        <v>182392</v>
      </c>
      <c r="V497" s="774">
        <v>170748</v>
      </c>
      <c r="W497" s="67" t="s">
        <v>122</v>
      </c>
      <c r="X497" s="67" t="s">
        <v>122</v>
      </c>
      <c r="Y497" s="774">
        <v>3737</v>
      </c>
      <c r="Z497" s="774">
        <v>3107</v>
      </c>
      <c r="AA497" s="774">
        <v>1966</v>
      </c>
      <c r="AB497" s="777" t="s">
        <v>122</v>
      </c>
      <c r="AC497" s="777" t="s">
        <v>122</v>
      </c>
      <c r="AD497" s="774">
        <v>1342</v>
      </c>
      <c r="AE497" s="774">
        <v>1342</v>
      </c>
      <c r="AF497" s="774">
        <v>227</v>
      </c>
      <c r="AG497" s="777" t="s">
        <v>122</v>
      </c>
      <c r="AH497" s="774">
        <v>1265</v>
      </c>
      <c r="AI497" s="783">
        <v>6.1999999999999998E-3</v>
      </c>
      <c r="AJ497" s="172">
        <v>2.29E-2</v>
      </c>
      <c r="AK497" s="774">
        <v>22226</v>
      </c>
    </row>
    <row r="498" spans="1:37">
      <c r="A498" s="110" t="s">
        <v>1001</v>
      </c>
      <c r="B498" s="65" t="s">
        <v>1002</v>
      </c>
      <c r="C498" s="65" t="s">
        <v>985</v>
      </c>
      <c r="D498" s="781"/>
      <c r="E498" s="781"/>
      <c r="F498" s="781"/>
      <c r="G498" s="788"/>
      <c r="H498" s="781"/>
      <c r="I498" s="65" t="s">
        <v>46</v>
      </c>
      <c r="J498" s="406">
        <v>450345</v>
      </c>
      <c r="K498" s="70" t="s">
        <v>122</v>
      </c>
      <c r="L498" s="65" t="s">
        <v>122</v>
      </c>
      <c r="M498" s="172">
        <v>-0.15609676213490539</v>
      </c>
      <c r="N498" s="169">
        <v>-0.15344789720270957</v>
      </c>
      <c r="O498" s="219" t="s">
        <v>990</v>
      </c>
      <c r="P498" s="220" t="s">
        <v>122</v>
      </c>
      <c r="Q498" s="407" t="s">
        <v>122</v>
      </c>
      <c r="R498" s="783"/>
      <c r="S498" s="785"/>
      <c r="T498" s="69" t="s">
        <v>122</v>
      </c>
      <c r="U498" s="775"/>
      <c r="V498" s="775"/>
      <c r="W498" s="70" t="s">
        <v>122</v>
      </c>
      <c r="X498" s="70" t="s">
        <v>122</v>
      </c>
      <c r="Y498" s="775"/>
      <c r="Z498" s="775"/>
      <c r="AA498" s="775"/>
      <c r="AB498" s="778"/>
      <c r="AC498" s="778"/>
      <c r="AD498" s="775"/>
      <c r="AE498" s="775"/>
      <c r="AF498" s="775"/>
      <c r="AG498" s="778"/>
      <c r="AH498" s="775"/>
      <c r="AI498" s="783"/>
      <c r="AJ498" s="172">
        <v>2.7900000000000001E-2</v>
      </c>
      <c r="AK498" s="775"/>
    </row>
    <row r="499" spans="1:37">
      <c r="A499" s="110" t="s">
        <v>1003</v>
      </c>
      <c r="B499" s="65" t="s">
        <v>1004</v>
      </c>
      <c r="C499" s="65" t="s">
        <v>985</v>
      </c>
      <c r="D499" s="781"/>
      <c r="E499" s="781"/>
      <c r="F499" s="781"/>
      <c r="G499" s="788"/>
      <c r="H499" s="781"/>
      <c r="I499" s="65" t="s">
        <v>69</v>
      </c>
      <c r="J499" s="406">
        <v>1504974</v>
      </c>
      <c r="K499" s="70" t="s">
        <v>122</v>
      </c>
      <c r="L499" s="65" t="s">
        <v>122</v>
      </c>
      <c r="M499" s="172">
        <v>-0.17195592317524305</v>
      </c>
      <c r="N499" s="169">
        <v>-0.16947168494216058</v>
      </c>
      <c r="O499" s="219" t="s">
        <v>990</v>
      </c>
      <c r="P499" s="220" t="s">
        <v>122</v>
      </c>
      <c r="Q499" s="407" t="s">
        <v>122</v>
      </c>
      <c r="R499" s="783"/>
      <c r="S499" s="785"/>
      <c r="T499" s="69" t="s">
        <v>122</v>
      </c>
      <c r="U499" s="775"/>
      <c r="V499" s="775"/>
      <c r="W499" s="70" t="s">
        <v>122</v>
      </c>
      <c r="X499" s="70" t="s">
        <v>122</v>
      </c>
      <c r="Y499" s="775"/>
      <c r="Z499" s="775"/>
      <c r="AA499" s="775"/>
      <c r="AB499" s="778"/>
      <c r="AC499" s="778"/>
      <c r="AD499" s="775"/>
      <c r="AE499" s="775"/>
      <c r="AF499" s="775"/>
      <c r="AG499" s="778"/>
      <c r="AH499" s="775"/>
      <c r="AI499" s="783"/>
      <c r="AJ499" s="172">
        <v>2.7900000000000001E-2</v>
      </c>
      <c r="AK499" s="775"/>
    </row>
    <row r="500" spans="1:37">
      <c r="A500" s="110" t="s">
        <v>1005</v>
      </c>
      <c r="B500" s="65" t="s">
        <v>1006</v>
      </c>
      <c r="C500" s="65" t="s">
        <v>985</v>
      </c>
      <c r="D500" s="781"/>
      <c r="E500" s="781"/>
      <c r="F500" s="781"/>
      <c r="G500" s="788"/>
      <c r="H500" s="781"/>
      <c r="I500" s="65" t="s">
        <v>239</v>
      </c>
      <c r="J500" s="409">
        <v>111</v>
      </c>
      <c r="K500" s="76" t="s">
        <v>122</v>
      </c>
      <c r="L500" s="75" t="s">
        <v>122</v>
      </c>
      <c r="M500" s="173">
        <v>-0.13534592347423749</v>
      </c>
      <c r="N500" s="408">
        <v>-0.13280124230998566</v>
      </c>
      <c r="O500" s="219" t="s">
        <v>990</v>
      </c>
      <c r="P500" s="220" t="s">
        <v>122</v>
      </c>
      <c r="Q500" s="407" t="s">
        <v>122</v>
      </c>
      <c r="R500" s="784"/>
      <c r="S500" s="786"/>
      <c r="T500" s="69" t="s">
        <v>122</v>
      </c>
      <c r="U500" s="776"/>
      <c r="V500" s="776"/>
      <c r="W500" s="70" t="s">
        <v>122</v>
      </c>
      <c r="X500" s="70" t="s">
        <v>122</v>
      </c>
      <c r="Y500" s="776"/>
      <c r="Z500" s="776"/>
      <c r="AA500" s="776"/>
      <c r="AB500" s="778"/>
      <c r="AC500" s="778"/>
      <c r="AD500" s="776"/>
      <c r="AE500" s="776"/>
      <c r="AF500" s="776"/>
      <c r="AG500" s="778"/>
      <c r="AH500" s="776"/>
      <c r="AI500" s="784"/>
      <c r="AJ500" s="173">
        <v>2.7900000000000001E-2</v>
      </c>
      <c r="AK500" s="776"/>
    </row>
    <row r="501" spans="1:37">
      <c r="A501" s="111" t="s">
        <v>1007</v>
      </c>
      <c r="B501" s="74" t="s">
        <v>1008</v>
      </c>
      <c r="C501" s="74" t="s">
        <v>985</v>
      </c>
      <c r="D501" s="780" t="s">
        <v>43</v>
      </c>
      <c r="E501" s="780" t="s">
        <v>44</v>
      </c>
      <c r="F501" s="780" t="s">
        <v>55</v>
      </c>
      <c r="G501" s="787" t="s">
        <v>58</v>
      </c>
      <c r="H501" s="780" t="s">
        <v>62</v>
      </c>
      <c r="I501" s="74" t="s">
        <v>239</v>
      </c>
      <c r="J501" s="406">
        <v>1505259</v>
      </c>
      <c r="K501" s="70" t="s">
        <v>122</v>
      </c>
      <c r="L501" s="65" t="s">
        <v>122</v>
      </c>
      <c r="M501" s="172">
        <v>-1.5323739664408066E-2</v>
      </c>
      <c r="N501" s="169">
        <v>-2.3196784378272474E-2</v>
      </c>
      <c r="O501" s="218" t="s">
        <v>219</v>
      </c>
      <c r="P501" s="218" t="s">
        <v>122</v>
      </c>
      <c r="Q501" s="224" t="s">
        <v>122</v>
      </c>
      <c r="R501" s="783">
        <v>3.5000000000000001E-3</v>
      </c>
      <c r="S501" s="785">
        <v>4.8329999999999998E-4</v>
      </c>
      <c r="T501" s="66" t="s">
        <v>122</v>
      </c>
      <c r="U501" s="774">
        <v>87965</v>
      </c>
      <c r="V501" s="774">
        <v>81874</v>
      </c>
      <c r="W501" s="67" t="s">
        <v>122</v>
      </c>
      <c r="X501" s="67" t="s">
        <v>122</v>
      </c>
      <c r="Y501" s="774">
        <v>1565</v>
      </c>
      <c r="Z501" s="774">
        <v>1637</v>
      </c>
      <c r="AA501" s="774">
        <v>1119</v>
      </c>
      <c r="AB501" s="777" t="s">
        <v>122</v>
      </c>
      <c r="AC501" s="777" t="s">
        <v>122</v>
      </c>
      <c r="AD501" s="774">
        <v>844</v>
      </c>
      <c r="AE501" s="774">
        <v>844</v>
      </c>
      <c r="AF501" s="774">
        <v>162</v>
      </c>
      <c r="AG501" s="777" t="s">
        <v>122</v>
      </c>
      <c r="AH501" s="774">
        <v>764</v>
      </c>
      <c r="AI501" s="783">
        <v>5.7000000000000002E-3</v>
      </c>
      <c r="AJ501" s="172">
        <v>2.2800000000000001E-2</v>
      </c>
      <c r="AK501" s="774">
        <v>10458</v>
      </c>
    </row>
    <row r="502" spans="1:37">
      <c r="A502" s="110" t="s">
        <v>1009</v>
      </c>
      <c r="B502" s="65" t="s">
        <v>1010</v>
      </c>
      <c r="C502" s="65" t="s">
        <v>985</v>
      </c>
      <c r="D502" s="781"/>
      <c r="E502" s="781"/>
      <c r="F502" s="781"/>
      <c r="G502" s="788"/>
      <c r="H502" s="781"/>
      <c r="I502" s="65" t="s">
        <v>46</v>
      </c>
      <c r="J502" s="406">
        <v>1091167</v>
      </c>
      <c r="K502" s="70" t="s">
        <v>122</v>
      </c>
      <c r="L502" s="65" t="s">
        <v>122</v>
      </c>
      <c r="M502" s="172">
        <v>-4.3418458046007573E-2</v>
      </c>
      <c r="N502" s="169">
        <v>-4.6229557368965168E-2</v>
      </c>
      <c r="O502" s="220" t="s">
        <v>990</v>
      </c>
      <c r="P502" s="220" t="s">
        <v>122</v>
      </c>
      <c r="Q502" s="410" t="s">
        <v>122</v>
      </c>
      <c r="R502" s="783"/>
      <c r="S502" s="785"/>
      <c r="T502" s="69" t="s">
        <v>122</v>
      </c>
      <c r="U502" s="775"/>
      <c r="V502" s="775"/>
      <c r="W502" s="70" t="s">
        <v>122</v>
      </c>
      <c r="X502" s="70" t="s">
        <v>122</v>
      </c>
      <c r="Y502" s="775"/>
      <c r="Z502" s="775"/>
      <c r="AA502" s="775"/>
      <c r="AB502" s="778"/>
      <c r="AC502" s="778"/>
      <c r="AD502" s="775"/>
      <c r="AE502" s="775"/>
      <c r="AF502" s="775"/>
      <c r="AG502" s="778"/>
      <c r="AH502" s="775"/>
      <c r="AI502" s="783"/>
      <c r="AJ502" s="172">
        <v>2.7799999999999998E-2</v>
      </c>
      <c r="AK502" s="775"/>
    </row>
    <row r="503" spans="1:37">
      <c r="A503" s="110" t="s">
        <v>1011</v>
      </c>
      <c r="B503" s="65" t="s">
        <v>1012</v>
      </c>
      <c r="C503" s="65" t="s">
        <v>985</v>
      </c>
      <c r="D503" s="781"/>
      <c r="E503" s="781"/>
      <c r="F503" s="781"/>
      <c r="G503" s="788"/>
      <c r="H503" s="781"/>
      <c r="I503" s="65" t="s">
        <v>69</v>
      </c>
      <c r="J503" s="406">
        <v>1714189</v>
      </c>
      <c r="K503" s="70" t="s">
        <v>122</v>
      </c>
      <c r="L503" s="65" t="s">
        <v>122</v>
      </c>
      <c r="M503" s="172">
        <v>-6.1703891300182473E-2</v>
      </c>
      <c r="N503" s="169">
        <v>-6.4501970719631041E-2</v>
      </c>
      <c r="O503" s="220" t="s">
        <v>990</v>
      </c>
      <c r="P503" s="220" t="s">
        <v>122</v>
      </c>
      <c r="Q503" s="410" t="s">
        <v>122</v>
      </c>
      <c r="R503" s="783"/>
      <c r="S503" s="785"/>
      <c r="T503" s="69" t="s">
        <v>122</v>
      </c>
      <c r="U503" s="775"/>
      <c r="V503" s="775"/>
      <c r="W503" s="70" t="s">
        <v>122</v>
      </c>
      <c r="X503" s="70" t="s">
        <v>122</v>
      </c>
      <c r="Y503" s="775"/>
      <c r="Z503" s="775"/>
      <c r="AA503" s="775"/>
      <c r="AB503" s="778"/>
      <c r="AC503" s="778"/>
      <c r="AD503" s="775"/>
      <c r="AE503" s="775"/>
      <c r="AF503" s="775"/>
      <c r="AG503" s="778"/>
      <c r="AH503" s="775"/>
      <c r="AI503" s="783"/>
      <c r="AJ503" s="172">
        <v>2.7799999999999998E-2</v>
      </c>
      <c r="AK503" s="775"/>
    </row>
    <row r="504" spans="1:37">
      <c r="A504" s="112" t="s">
        <v>1013</v>
      </c>
      <c r="B504" s="75" t="s">
        <v>1014</v>
      </c>
      <c r="C504" s="65" t="s">
        <v>985</v>
      </c>
      <c r="D504" s="781"/>
      <c r="E504" s="781"/>
      <c r="F504" s="781"/>
      <c r="G504" s="788"/>
      <c r="H504" s="781"/>
      <c r="I504" s="75" t="s">
        <v>239</v>
      </c>
      <c r="J504" s="411">
        <v>116</v>
      </c>
      <c r="K504" s="76" t="s">
        <v>122</v>
      </c>
      <c r="L504" s="75" t="s">
        <v>122</v>
      </c>
      <c r="M504" s="173">
        <v>-2.009013988689998E-2</v>
      </c>
      <c r="N504" s="408">
        <v>-2.3196784378272474E-2</v>
      </c>
      <c r="O504" s="220" t="s">
        <v>990</v>
      </c>
      <c r="P504" s="220" t="s">
        <v>122</v>
      </c>
      <c r="Q504" s="225" t="s">
        <v>122</v>
      </c>
      <c r="R504" s="784"/>
      <c r="S504" s="786"/>
      <c r="T504" s="69" t="s">
        <v>122</v>
      </c>
      <c r="U504" s="776"/>
      <c r="V504" s="776"/>
      <c r="W504" s="70" t="s">
        <v>122</v>
      </c>
      <c r="X504" s="70" t="s">
        <v>122</v>
      </c>
      <c r="Y504" s="776"/>
      <c r="Z504" s="776"/>
      <c r="AA504" s="776"/>
      <c r="AB504" s="778"/>
      <c r="AC504" s="778"/>
      <c r="AD504" s="776"/>
      <c r="AE504" s="776"/>
      <c r="AF504" s="776"/>
      <c r="AG504" s="778"/>
      <c r="AH504" s="776"/>
      <c r="AI504" s="784"/>
      <c r="AJ504" s="173">
        <v>2.7799999999999998E-2</v>
      </c>
      <c r="AK504" s="776"/>
    </row>
    <row r="505" spans="1:37">
      <c r="A505" s="113" t="s">
        <v>1015</v>
      </c>
      <c r="B505" s="77" t="s">
        <v>1016</v>
      </c>
      <c r="C505" s="65" t="s">
        <v>985</v>
      </c>
      <c r="D505" s="780" t="s">
        <v>43</v>
      </c>
      <c r="E505" s="780" t="s">
        <v>44</v>
      </c>
      <c r="F505" s="780" t="s">
        <v>55</v>
      </c>
      <c r="G505" s="787" t="s">
        <v>58</v>
      </c>
      <c r="H505" s="780" t="s">
        <v>62</v>
      </c>
      <c r="I505" s="77" t="s">
        <v>69</v>
      </c>
      <c r="J505" s="406">
        <v>1370455</v>
      </c>
      <c r="K505" s="70" t="s">
        <v>122</v>
      </c>
      <c r="L505" s="65" t="s">
        <v>122</v>
      </c>
      <c r="M505" s="172">
        <v>-4.3457468691201371E-3</v>
      </c>
      <c r="N505" s="169">
        <v>-1.24221E-2</v>
      </c>
      <c r="O505" s="218" t="s">
        <v>219</v>
      </c>
      <c r="P505" s="218" t="s">
        <v>122</v>
      </c>
      <c r="Q505" s="410" t="s">
        <v>122</v>
      </c>
      <c r="R505" s="783">
        <v>3.5000000000000001E-3</v>
      </c>
      <c r="S505" s="785">
        <v>4.8329999999999998E-4</v>
      </c>
      <c r="T505" s="66" t="s">
        <v>122</v>
      </c>
      <c r="U505" s="774">
        <v>35695</v>
      </c>
      <c r="V505" s="774">
        <v>32004</v>
      </c>
      <c r="W505" s="67" t="s">
        <v>122</v>
      </c>
      <c r="X505" s="67" t="s">
        <v>122</v>
      </c>
      <c r="Y505" s="774">
        <v>684</v>
      </c>
      <c r="Z505" s="774">
        <v>1135</v>
      </c>
      <c r="AA505" s="774">
        <v>484</v>
      </c>
      <c r="AB505" s="777" t="s">
        <v>122</v>
      </c>
      <c r="AC505" s="777" t="s">
        <v>122</v>
      </c>
      <c r="AD505" s="774">
        <v>667</v>
      </c>
      <c r="AE505" s="774">
        <v>667</v>
      </c>
      <c r="AF505" s="774">
        <v>111</v>
      </c>
      <c r="AG505" s="777" t="s">
        <v>122</v>
      </c>
      <c r="AH505" s="774">
        <v>610</v>
      </c>
      <c r="AI505" s="783">
        <v>5.1999999999999998E-3</v>
      </c>
      <c r="AJ505" s="172">
        <v>2.2100000000000002E-2</v>
      </c>
      <c r="AK505" s="774">
        <v>8647</v>
      </c>
    </row>
    <row r="506" spans="1:37">
      <c r="A506" s="113" t="s">
        <v>1017</v>
      </c>
      <c r="B506" s="77" t="s">
        <v>1018</v>
      </c>
      <c r="C506" s="65" t="s">
        <v>985</v>
      </c>
      <c r="D506" s="781"/>
      <c r="E506" s="781"/>
      <c r="F506" s="781"/>
      <c r="G506" s="788"/>
      <c r="H506" s="781"/>
      <c r="I506" s="65" t="s">
        <v>46</v>
      </c>
      <c r="J506" s="406">
        <v>221</v>
      </c>
      <c r="K506" s="70" t="s">
        <v>122</v>
      </c>
      <c r="L506" s="65" t="s">
        <v>122</v>
      </c>
      <c r="M506" s="172">
        <v>9.9511253221531981E-3</v>
      </c>
      <c r="N506" s="169">
        <v>9.4476221463131171E-3</v>
      </c>
      <c r="O506" s="220" t="s">
        <v>990</v>
      </c>
      <c r="P506" s="220" t="s">
        <v>122</v>
      </c>
      <c r="Q506" s="410" t="s">
        <v>122</v>
      </c>
      <c r="R506" s="783"/>
      <c r="S506" s="785"/>
      <c r="T506" s="69" t="s">
        <v>122</v>
      </c>
      <c r="U506" s="775"/>
      <c r="V506" s="775"/>
      <c r="W506" s="70" t="s">
        <v>122</v>
      </c>
      <c r="X506" s="70" t="s">
        <v>122</v>
      </c>
      <c r="Y506" s="775"/>
      <c r="Z506" s="775"/>
      <c r="AA506" s="775"/>
      <c r="AB506" s="778"/>
      <c r="AC506" s="778"/>
      <c r="AD506" s="775"/>
      <c r="AE506" s="775"/>
      <c r="AF506" s="775"/>
      <c r="AG506" s="778"/>
      <c r="AH506" s="775"/>
      <c r="AI506" s="783"/>
      <c r="AJ506" s="172">
        <v>2.7099999999999999E-2</v>
      </c>
      <c r="AK506" s="775"/>
    </row>
    <row r="507" spans="1:37">
      <c r="A507" s="113" t="s">
        <v>1019</v>
      </c>
      <c r="B507" s="77" t="s">
        <v>1020</v>
      </c>
      <c r="C507" s="65" t="s">
        <v>985</v>
      </c>
      <c r="D507" s="781"/>
      <c r="E507" s="781"/>
      <c r="F507" s="781"/>
      <c r="G507" s="788"/>
      <c r="H507" s="781"/>
      <c r="I507" s="65" t="s">
        <v>69</v>
      </c>
      <c r="J507" s="406">
        <v>566826</v>
      </c>
      <c r="K507" s="70" t="s">
        <v>122</v>
      </c>
      <c r="L507" s="65" t="s">
        <v>122</v>
      </c>
      <c r="M507" s="172">
        <v>-9.2131932927952912E-3</v>
      </c>
      <c r="N507" s="169">
        <v>-1.24221E-2</v>
      </c>
      <c r="O507" s="220" t="s">
        <v>990</v>
      </c>
      <c r="P507" s="220" t="s">
        <v>122</v>
      </c>
      <c r="Q507" s="410" t="s">
        <v>122</v>
      </c>
      <c r="R507" s="783"/>
      <c r="S507" s="785"/>
      <c r="T507" s="69" t="s">
        <v>122</v>
      </c>
      <c r="U507" s="775"/>
      <c r="V507" s="775"/>
      <c r="W507" s="70" t="s">
        <v>122</v>
      </c>
      <c r="X507" s="70" t="s">
        <v>122</v>
      </c>
      <c r="Y507" s="775"/>
      <c r="Z507" s="775"/>
      <c r="AA507" s="775"/>
      <c r="AB507" s="778"/>
      <c r="AC507" s="778"/>
      <c r="AD507" s="775"/>
      <c r="AE507" s="775"/>
      <c r="AF507" s="775"/>
      <c r="AG507" s="778"/>
      <c r="AH507" s="775"/>
      <c r="AI507" s="783"/>
      <c r="AJ507" s="172">
        <v>2.7099999999999999E-2</v>
      </c>
      <c r="AK507" s="775"/>
    </row>
    <row r="508" spans="1:37">
      <c r="A508" s="113" t="s">
        <v>1021</v>
      </c>
      <c r="B508" s="77" t="s">
        <v>1022</v>
      </c>
      <c r="C508" s="65" t="s">
        <v>985</v>
      </c>
      <c r="D508" s="781"/>
      <c r="E508" s="781"/>
      <c r="F508" s="781"/>
      <c r="G508" s="788"/>
      <c r="H508" s="781"/>
      <c r="I508" s="65" t="s">
        <v>239</v>
      </c>
      <c r="J508" s="406">
        <v>95</v>
      </c>
      <c r="K508" s="70" t="s">
        <v>122</v>
      </c>
      <c r="L508" s="65" t="s">
        <v>122</v>
      </c>
      <c r="M508" s="173">
        <v>3.4331402222747762E-2</v>
      </c>
      <c r="N508" s="408">
        <v>3.2349794545418087E-2</v>
      </c>
      <c r="O508" s="220" t="s">
        <v>990</v>
      </c>
      <c r="P508" s="220" t="s">
        <v>122</v>
      </c>
      <c r="Q508" s="410" t="s">
        <v>122</v>
      </c>
      <c r="R508" s="784"/>
      <c r="S508" s="786"/>
      <c r="T508" s="69" t="s">
        <v>122</v>
      </c>
      <c r="U508" s="776"/>
      <c r="V508" s="776"/>
      <c r="W508" s="70" t="s">
        <v>122</v>
      </c>
      <c r="X508" s="70" t="s">
        <v>122</v>
      </c>
      <c r="Y508" s="776"/>
      <c r="Z508" s="776"/>
      <c r="AA508" s="776"/>
      <c r="AB508" s="778"/>
      <c r="AC508" s="778"/>
      <c r="AD508" s="776"/>
      <c r="AE508" s="776"/>
      <c r="AF508" s="776"/>
      <c r="AG508" s="778"/>
      <c r="AH508" s="776"/>
      <c r="AI508" s="784"/>
      <c r="AJ508" s="173">
        <v>2.7099999999999999E-2</v>
      </c>
      <c r="AK508" s="776"/>
    </row>
    <row r="509" spans="1:37">
      <c r="A509" s="111" t="s">
        <v>1023</v>
      </c>
      <c r="B509" s="74" t="s">
        <v>1024</v>
      </c>
      <c r="C509" s="74" t="s">
        <v>985</v>
      </c>
      <c r="D509" s="780" t="s">
        <v>43</v>
      </c>
      <c r="E509" s="780" t="s">
        <v>44</v>
      </c>
      <c r="F509" s="780" t="s">
        <v>55</v>
      </c>
      <c r="G509" s="787" t="s">
        <v>58</v>
      </c>
      <c r="H509" s="780" t="s">
        <v>62</v>
      </c>
      <c r="I509" s="74" t="s">
        <v>239</v>
      </c>
      <c r="J509" s="68">
        <v>2517989</v>
      </c>
      <c r="K509" s="67" t="s">
        <v>122</v>
      </c>
      <c r="L509" s="74" t="s">
        <v>122</v>
      </c>
      <c r="M509" s="172">
        <v>0.19028412864922367</v>
      </c>
      <c r="N509" s="169">
        <v>0.22805381931767471</v>
      </c>
      <c r="O509" s="218" t="s">
        <v>219</v>
      </c>
      <c r="P509" s="218" t="s">
        <v>122</v>
      </c>
      <c r="Q509" s="224" t="s">
        <v>122</v>
      </c>
      <c r="R509" s="783">
        <v>3.5000000000000001E-3</v>
      </c>
      <c r="S509" s="785">
        <v>4.8329999999999998E-4</v>
      </c>
      <c r="T509" s="66" t="s">
        <v>122</v>
      </c>
      <c r="U509" s="774">
        <v>64293</v>
      </c>
      <c r="V509" s="774">
        <v>58426</v>
      </c>
      <c r="W509" s="67" t="s">
        <v>122</v>
      </c>
      <c r="X509" s="67" t="s">
        <v>122</v>
      </c>
      <c r="Y509" s="774">
        <v>1253</v>
      </c>
      <c r="Z509" s="774">
        <v>2171</v>
      </c>
      <c r="AA509" s="774">
        <v>893</v>
      </c>
      <c r="AB509" s="777" t="s">
        <v>122</v>
      </c>
      <c r="AC509" s="777" t="s">
        <v>122</v>
      </c>
      <c r="AD509" s="774">
        <v>657</v>
      </c>
      <c r="AE509" s="774">
        <v>657</v>
      </c>
      <c r="AF509" s="774">
        <v>134</v>
      </c>
      <c r="AG509" s="777" t="s">
        <v>122</v>
      </c>
      <c r="AH509" s="774">
        <v>759</v>
      </c>
      <c r="AI509" s="783">
        <v>4.0000000000000001E-3</v>
      </c>
      <c r="AJ509" s="172">
        <v>2.12E-2</v>
      </c>
      <c r="AK509" s="774">
        <v>5792</v>
      </c>
    </row>
    <row r="510" spans="1:37">
      <c r="A510" s="110" t="s">
        <v>1025</v>
      </c>
      <c r="B510" s="65" t="s">
        <v>1026</v>
      </c>
      <c r="C510" s="65" t="s">
        <v>985</v>
      </c>
      <c r="D510" s="781"/>
      <c r="E510" s="781"/>
      <c r="F510" s="781"/>
      <c r="G510" s="788"/>
      <c r="H510" s="781"/>
      <c r="I510" s="65" t="s">
        <v>46</v>
      </c>
      <c r="J510" s="406">
        <v>173489</v>
      </c>
      <c r="K510" s="70" t="s">
        <v>122</v>
      </c>
      <c r="L510" s="65" t="s">
        <v>122</v>
      </c>
      <c r="M510" s="172">
        <v>0.15610918737270335</v>
      </c>
      <c r="N510" s="169">
        <v>0.19989999999999999</v>
      </c>
      <c r="O510" s="220" t="s">
        <v>990</v>
      </c>
      <c r="P510" s="220" t="s">
        <v>122</v>
      </c>
      <c r="Q510" s="410" t="s">
        <v>122</v>
      </c>
      <c r="R510" s="783"/>
      <c r="S510" s="785"/>
      <c r="T510" s="69" t="s">
        <v>122</v>
      </c>
      <c r="U510" s="775"/>
      <c r="V510" s="775"/>
      <c r="W510" s="70" t="s">
        <v>122</v>
      </c>
      <c r="X510" s="70" t="s">
        <v>122</v>
      </c>
      <c r="Y510" s="775"/>
      <c r="Z510" s="775"/>
      <c r="AA510" s="775"/>
      <c r="AB510" s="778"/>
      <c r="AC510" s="778"/>
      <c r="AD510" s="775"/>
      <c r="AE510" s="775"/>
      <c r="AF510" s="775"/>
      <c r="AG510" s="778"/>
      <c r="AH510" s="775"/>
      <c r="AI510" s="783"/>
      <c r="AJ510" s="172">
        <v>2.6200000000000001E-2</v>
      </c>
      <c r="AK510" s="775"/>
    </row>
    <row r="511" spans="1:37">
      <c r="A511" s="110" t="s">
        <v>1027</v>
      </c>
      <c r="B511" s="65" t="s">
        <v>1028</v>
      </c>
      <c r="C511" s="65" t="s">
        <v>985</v>
      </c>
      <c r="D511" s="781"/>
      <c r="E511" s="781"/>
      <c r="F511" s="781"/>
      <c r="G511" s="788"/>
      <c r="H511" s="781"/>
      <c r="I511" s="65" t="s">
        <v>69</v>
      </c>
      <c r="J511" s="406">
        <v>761443</v>
      </c>
      <c r="K511" s="70" t="s">
        <v>122</v>
      </c>
      <c r="L511" s="65" t="s">
        <v>122</v>
      </c>
      <c r="M511" s="172">
        <v>0.13422221954566019</v>
      </c>
      <c r="N511" s="169">
        <v>0.1760586811863154</v>
      </c>
      <c r="O511" s="220" t="s">
        <v>990</v>
      </c>
      <c r="P511" s="220" t="s">
        <v>122</v>
      </c>
      <c r="Q511" s="410" t="s">
        <v>122</v>
      </c>
      <c r="R511" s="783"/>
      <c r="S511" s="785"/>
      <c r="T511" s="69" t="s">
        <v>122</v>
      </c>
      <c r="U511" s="775"/>
      <c r="V511" s="775"/>
      <c r="W511" s="70" t="s">
        <v>122</v>
      </c>
      <c r="X511" s="70" t="s">
        <v>122</v>
      </c>
      <c r="Y511" s="775"/>
      <c r="Z511" s="775"/>
      <c r="AA511" s="775"/>
      <c r="AB511" s="778"/>
      <c r="AC511" s="778"/>
      <c r="AD511" s="775"/>
      <c r="AE511" s="775"/>
      <c r="AF511" s="775"/>
      <c r="AG511" s="778"/>
      <c r="AH511" s="775"/>
      <c r="AI511" s="783"/>
      <c r="AJ511" s="172">
        <v>2.6200000000000001E-2</v>
      </c>
      <c r="AK511" s="775"/>
    </row>
    <row r="512" spans="1:37">
      <c r="A512" s="112" t="s">
        <v>1029</v>
      </c>
      <c r="B512" s="75" t="s">
        <v>1030</v>
      </c>
      <c r="C512" s="65" t="s">
        <v>985</v>
      </c>
      <c r="D512" s="781"/>
      <c r="E512" s="781"/>
      <c r="F512" s="781"/>
      <c r="G512" s="788"/>
      <c r="H512" s="781"/>
      <c r="I512" s="75" t="s">
        <v>239</v>
      </c>
      <c r="J512" s="411">
        <v>121</v>
      </c>
      <c r="K512" s="76" t="s">
        <v>122</v>
      </c>
      <c r="L512" s="75" t="s">
        <v>122</v>
      </c>
      <c r="M512" s="173">
        <v>0.18390863255016429</v>
      </c>
      <c r="N512" s="408">
        <v>0.22807897696142546</v>
      </c>
      <c r="O512" s="220" t="s">
        <v>990</v>
      </c>
      <c r="P512" s="220" t="s">
        <v>122</v>
      </c>
      <c r="Q512" s="225" t="s">
        <v>122</v>
      </c>
      <c r="R512" s="784"/>
      <c r="S512" s="786"/>
      <c r="T512" s="69" t="s">
        <v>122</v>
      </c>
      <c r="U512" s="776"/>
      <c r="V512" s="776"/>
      <c r="W512" s="70" t="s">
        <v>122</v>
      </c>
      <c r="X512" s="70" t="s">
        <v>122</v>
      </c>
      <c r="Y512" s="776"/>
      <c r="Z512" s="776"/>
      <c r="AA512" s="776"/>
      <c r="AB512" s="778"/>
      <c r="AC512" s="778"/>
      <c r="AD512" s="776"/>
      <c r="AE512" s="776"/>
      <c r="AF512" s="776"/>
      <c r="AG512" s="778"/>
      <c r="AH512" s="776"/>
      <c r="AI512" s="784"/>
      <c r="AJ512" s="173">
        <v>2.6200000000000001E-2</v>
      </c>
      <c r="AK512" s="776"/>
    </row>
    <row r="513" spans="1:37">
      <c r="A513" s="110" t="s">
        <v>1031</v>
      </c>
      <c r="B513" s="65" t="s">
        <v>1032</v>
      </c>
      <c r="C513" s="65" t="s">
        <v>985</v>
      </c>
      <c r="D513" s="780" t="s">
        <v>43</v>
      </c>
      <c r="E513" s="780" t="s">
        <v>44</v>
      </c>
      <c r="F513" s="780" t="s">
        <v>55</v>
      </c>
      <c r="G513" s="787" t="s">
        <v>58</v>
      </c>
      <c r="H513" s="780" t="s">
        <v>62</v>
      </c>
      <c r="I513" s="65" t="s">
        <v>239</v>
      </c>
      <c r="J513" s="406">
        <v>9367626</v>
      </c>
      <c r="K513" s="70" t="s">
        <v>122</v>
      </c>
      <c r="L513" s="65" t="s">
        <v>122</v>
      </c>
      <c r="M513" s="171">
        <v>-7.3291180110854073E-2</v>
      </c>
      <c r="N513" s="169">
        <v>-5.1496321206401942E-2</v>
      </c>
      <c r="O513" s="218" t="s">
        <v>219</v>
      </c>
      <c r="P513" s="218" t="s">
        <v>122</v>
      </c>
      <c r="Q513" s="410" t="s">
        <v>122</v>
      </c>
      <c r="R513" s="783">
        <v>3.5000000000000001E-3</v>
      </c>
      <c r="S513" s="785">
        <v>4.8329999999999998E-4</v>
      </c>
      <c r="T513" s="66" t="s">
        <v>122</v>
      </c>
      <c r="U513" s="774">
        <v>210896</v>
      </c>
      <c r="V513" s="774">
        <v>197350</v>
      </c>
      <c r="W513" s="67" t="s">
        <v>122</v>
      </c>
      <c r="X513" s="67" t="s">
        <v>122</v>
      </c>
      <c r="Y513" s="774">
        <v>4310</v>
      </c>
      <c r="Z513" s="774">
        <v>3777</v>
      </c>
      <c r="AA513" s="774">
        <v>3073</v>
      </c>
      <c r="AB513" s="777" t="s">
        <v>122</v>
      </c>
      <c r="AC513" s="777" t="s">
        <v>122</v>
      </c>
      <c r="AD513" s="774">
        <v>864</v>
      </c>
      <c r="AE513" s="774">
        <v>864</v>
      </c>
      <c r="AF513" s="774">
        <v>246</v>
      </c>
      <c r="AG513" s="777" t="s">
        <v>122</v>
      </c>
      <c r="AH513" s="774">
        <v>1276</v>
      </c>
      <c r="AI513" s="783">
        <v>1.04E-2</v>
      </c>
      <c r="AJ513" s="172">
        <v>2.7199999999999998E-2</v>
      </c>
      <c r="AK513" s="774">
        <v>18218</v>
      </c>
    </row>
    <row r="514" spans="1:37">
      <c r="A514" s="110" t="s">
        <v>1033</v>
      </c>
      <c r="B514" s="65" t="s">
        <v>1034</v>
      </c>
      <c r="C514" s="65" t="s">
        <v>985</v>
      </c>
      <c r="D514" s="781"/>
      <c r="E514" s="781"/>
      <c r="F514" s="781"/>
      <c r="G514" s="788"/>
      <c r="H514" s="781"/>
      <c r="I514" s="65" t="s">
        <v>46</v>
      </c>
      <c r="J514" s="406">
        <v>646262</v>
      </c>
      <c r="K514" s="70" t="s">
        <v>122</v>
      </c>
      <c r="L514" s="65" t="s">
        <v>122</v>
      </c>
      <c r="M514" s="172">
        <v>-0.10001916662036291</v>
      </c>
      <c r="N514" s="169">
        <v>-7.3520317661702861E-2</v>
      </c>
      <c r="O514" s="220" t="s">
        <v>990</v>
      </c>
      <c r="P514" s="220" t="s">
        <v>122</v>
      </c>
      <c r="Q514" s="410" t="s">
        <v>122</v>
      </c>
      <c r="R514" s="783"/>
      <c r="S514" s="785"/>
      <c r="T514" s="69" t="s">
        <v>122</v>
      </c>
      <c r="U514" s="775"/>
      <c r="V514" s="775"/>
      <c r="W514" s="70" t="s">
        <v>122</v>
      </c>
      <c r="X514" s="70" t="s">
        <v>122</v>
      </c>
      <c r="Y514" s="775"/>
      <c r="Z514" s="775"/>
      <c r="AA514" s="775"/>
      <c r="AB514" s="778"/>
      <c r="AC514" s="778"/>
      <c r="AD514" s="775"/>
      <c r="AE514" s="775"/>
      <c r="AF514" s="775"/>
      <c r="AG514" s="778"/>
      <c r="AH514" s="775"/>
      <c r="AI514" s="783"/>
      <c r="AJ514" s="172">
        <v>3.2199999999999999E-2</v>
      </c>
      <c r="AK514" s="775"/>
    </row>
    <row r="515" spans="1:37">
      <c r="A515" s="110" t="s">
        <v>1035</v>
      </c>
      <c r="B515" s="65" t="s">
        <v>1036</v>
      </c>
      <c r="C515" s="65" t="s">
        <v>985</v>
      </c>
      <c r="D515" s="781"/>
      <c r="E515" s="781"/>
      <c r="F515" s="781"/>
      <c r="G515" s="788"/>
      <c r="H515" s="781"/>
      <c r="I515" s="65" t="s">
        <v>69</v>
      </c>
      <c r="J515" s="406">
        <v>1824240</v>
      </c>
      <c r="K515" s="70" t="s">
        <v>122</v>
      </c>
      <c r="L515" s="65" t="s">
        <v>122</v>
      </c>
      <c r="M515" s="172">
        <v>-0.11694139308486298</v>
      </c>
      <c r="N515" s="169">
        <v>-9.1604830854475683E-2</v>
      </c>
      <c r="O515" s="220" t="s">
        <v>990</v>
      </c>
      <c r="P515" s="220" t="s">
        <v>122</v>
      </c>
      <c r="Q515" s="410" t="s">
        <v>122</v>
      </c>
      <c r="R515" s="783"/>
      <c r="S515" s="785"/>
      <c r="T515" s="69" t="s">
        <v>122</v>
      </c>
      <c r="U515" s="775"/>
      <c r="V515" s="775"/>
      <c r="W515" s="70" t="s">
        <v>122</v>
      </c>
      <c r="X515" s="70" t="s">
        <v>122</v>
      </c>
      <c r="Y515" s="775"/>
      <c r="Z515" s="775"/>
      <c r="AA515" s="775"/>
      <c r="AB515" s="778"/>
      <c r="AC515" s="778"/>
      <c r="AD515" s="775"/>
      <c r="AE515" s="775"/>
      <c r="AF515" s="775"/>
      <c r="AG515" s="778"/>
      <c r="AH515" s="775"/>
      <c r="AI515" s="783"/>
      <c r="AJ515" s="172">
        <v>3.2199999999999999E-2</v>
      </c>
      <c r="AK515" s="775"/>
    </row>
    <row r="516" spans="1:37">
      <c r="A516" s="110" t="s">
        <v>1037</v>
      </c>
      <c r="B516" s="65" t="s">
        <v>1038</v>
      </c>
      <c r="C516" s="65" t="s">
        <v>985</v>
      </c>
      <c r="D516" s="781"/>
      <c r="E516" s="781"/>
      <c r="F516" s="781"/>
      <c r="G516" s="788"/>
      <c r="H516" s="781"/>
      <c r="I516" s="65" t="s">
        <v>239</v>
      </c>
      <c r="J516" s="73">
        <v>98</v>
      </c>
      <c r="K516" s="70" t="s">
        <v>122</v>
      </c>
      <c r="L516" s="65" t="s">
        <v>122</v>
      </c>
      <c r="M516" s="173">
        <v>-7.801541962751378E-2</v>
      </c>
      <c r="N516" s="408">
        <v>-5.1496321206401942E-2</v>
      </c>
      <c r="O516" s="220" t="s">
        <v>990</v>
      </c>
      <c r="P516" s="220" t="s">
        <v>122</v>
      </c>
      <c r="Q516" s="410" t="s">
        <v>122</v>
      </c>
      <c r="R516" s="784"/>
      <c r="S516" s="786"/>
      <c r="T516" s="69" t="s">
        <v>122</v>
      </c>
      <c r="U516" s="776"/>
      <c r="V516" s="776"/>
      <c r="W516" s="70" t="s">
        <v>122</v>
      </c>
      <c r="X516" s="70" t="s">
        <v>122</v>
      </c>
      <c r="Y516" s="776"/>
      <c r="Z516" s="776"/>
      <c r="AA516" s="776"/>
      <c r="AB516" s="778"/>
      <c r="AC516" s="778"/>
      <c r="AD516" s="776"/>
      <c r="AE516" s="776"/>
      <c r="AF516" s="776"/>
      <c r="AG516" s="778"/>
      <c r="AH516" s="776"/>
      <c r="AI516" s="784"/>
      <c r="AJ516" s="173">
        <v>3.2199999999999999E-2</v>
      </c>
      <c r="AK516" s="776"/>
    </row>
    <row r="517" spans="1:37">
      <c r="A517" s="114" t="s">
        <v>1039</v>
      </c>
      <c r="B517" s="74" t="s">
        <v>1040</v>
      </c>
      <c r="C517" s="74" t="s">
        <v>985</v>
      </c>
      <c r="D517" s="780" t="s">
        <v>43</v>
      </c>
      <c r="E517" s="780" t="s">
        <v>44</v>
      </c>
      <c r="F517" s="780" t="s">
        <v>55</v>
      </c>
      <c r="G517" s="787" t="s">
        <v>58</v>
      </c>
      <c r="H517" s="780" t="s">
        <v>62</v>
      </c>
      <c r="I517" s="74" t="s">
        <v>239</v>
      </c>
      <c r="J517" s="406">
        <v>14795920</v>
      </c>
      <c r="K517" s="67" t="s">
        <v>122</v>
      </c>
      <c r="L517" s="74" t="s">
        <v>122</v>
      </c>
      <c r="M517" s="172">
        <v>0.10656873226589547</v>
      </c>
      <c r="N517" s="169">
        <v>6.7530099999999996E-2</v>
      </c>
      <c r="O517" s="218" t="s">
        <v>219</v>
      </c>
      <c r="P517" s="218" t="s">
        <v>122</v>
      </c>
      <c r="Q517" s="224" t="s">
        <v>122</v>
      </c>
      <c r="R517" s="783">
        <v>3.5000000000000001E-3</v>
      </c>
      <c r="S517" s="785">
        <v>4.8329999999999998E-4</v>
      </c>
      <c r="T517" s="66" t="s">
        <v>122</v>
      </c>
      <c r="U517" s="774">
        <v>320609</v>
      </c>
      <c r="V517" s="774">
        <v>301910</v>
      </c>
      <c r="W517" s="67" t="s">
        <v>122</v>
      </c>
      <c r="X517" s="67" t="s">
        <v>122</v>
      </c>
      <c r="Y517" s="774">
        <v>6625</v>
      </c>
      <c r="Z517" s="774">
        <v>3777</v>
      </c>
      <c r="AA517" s="774">
        <v>4730</v>
      </c>
      <c r="AB517" s="777" t="s">
        <v>122</v>
      </c>
      <c r="AC517" s="777" t="s">
        <v>122</v>
      </c>
      <c r="AD517" s="774">
        <v>1231</v>
      </c>
      <c r="AE517" s="774">
        <v>1231</v>
      </c>
      <c r="AF517" s="774">
        <v>274</v>
      </c>
      <c r="AG517" s="777" t="s">
        <v>122</v>
      </c>
      <c r="AH517" s="774">
        <v>2062</v>
      </c>
      <c r="AI517" s="783">
        <v>6.0000000000000001E-3</v>
      </c>
      <c r="AJ517" s="172">
        <v>2.2700000000000001E-2</v>
      </c>
      <c r="AK517" s="774">
        <v>26399</v>
      </c>
    </row>
    <row r="518" spans="1:37">
      <c r="A518" s="113" t="s">
        <v>1041</v>
      </c>
      <c r="B518" s="65" t="s">
        <v>1042</v>
      </c>
      <c r="C518" s="65" t="s">
        <v>985</v>
      </c>
      <c r="D518" s="781"/>
      <c r="E518" s="781"/>
      <c r="F518" s="781"/>
      <c r="G518" s="788"/>
      <c r="H518" s="781"/>
      <c r="I518" s="65" t="s">
        <v>46</v>
      </c>
      <c r="J518" s="406">
        <v>1224141</v>
      </c>
      <c r="K518" s="70" t="s">
        <v>122</v>
      </c>
      <c r="L518" s="65" t="s">
        <v>122</v>
      </c>
      <c r="M518" s="172">
        <v>7.4700492266799548E-2</v>
      </c>
      <c r="N518" s="169">
        <v>4.46395675462814E-2</v>
      </c>
      <c r="O518" s="220" t="s">
        <v>990</v>
      </c>
      <c r="P518" s="220" t="s">
        <v>122</v>
      </c>
      <c r="Q518" s="410" t="s">
        <v>122</v>
      </c>
      <c r="R518" s="783"/>
      <c r="S518" s="785"/>
      <c r="T518" s="69" t="s">
        <v>122</v>
      </c>
      <c r="U518" s="775"/>
      <c r="V518" s="775"/>
      <c r="W518" s="70" t="s">
        <v>122</v>
      </c>
      <c r="X518" s="70" t="s">
        <v>122</v>
      </c>
      <c r="Y518" s="775"/>
      <c r="Z518" s="775"/>
      <c r="AA518" s="775"/>
      <c r="AB518" s="778"/>
      <c r="AC518" s="778"/>
      <c r="AD518" s="775"/>
      <c r="AE518" s="775"/>
      <c r="AF518" s="775"/>
      <c r="AG518" s="778"/>
      <c r="AH518" s="775"/>
      <c r="AI518" s="783"/>
      <c r="AJ518" s="172">
        <v>2.7699999999999999E-2</v>
      </c>
      <c r="AK518" s="775"/>
    </row>
    <row r="519" spans="1:37">
      <c r="A519" s="113" t="s">
        <v>1043</v>
      </c>
      <c r="B519" s="65" t="s">
        <v>1044</v>
      </c>
      <c r="C519" s="65" t="s">
        <v>985</v>
      </c>
      <c r="D519" s="781"/>
      <c r="E519" s="781"/>
      <c r="F519" s="781"/>
      <c r="G519" s="788"/>
      <c r="H519" s="781"/>
      <c r="I519" s="65" t="s">
        <v>69</v>
      </c>
      <c r="J519" s="406">
        <v>2221222</v>
      </c>
      <c r="K519" s="70" t="s">
        <v>122</v>
      </c>
      <c r="L519" s="65" t="s">
        <v>122</v>
      </c>
      <c r="M519" s="172">
        <v>5.4446594304778828E-2</v>
      </c>
      <c r="N519" s="169">
        <v>2.2388428678368211E-2</v>
      </c>
      <c r="O519" s="220" t="s">
        <v>990</v>
      </c>
      <c r="P519" s="220" t="s">
        <v>122</v>
      </c>
      <c r="Q519" s="410" t="s">
        <v>122</v>
      </c>
      <c r="R519" s="783"/>
      <c r="S519" s="785"/>
      <c r="T519" s="69" t="s">
        <v>122</v>
      </c>
      <c r="U519" s="775"/>
      <c r="V519" s="775"/>
      <c r="W519" s="70" t="s">
        <v>122</v>
      </c>
      <c r="X519" s="70" t="s">
        <v>122</v>
      </c>
      <c r="Y519" s="775"/>
      <c r="Z519" s="775"/>
      <c r="AA519" s="775"/>
      <c r="AB519" s="778"/>
      <c r="AC519" s="778"/>
      <c r="AD519" s="775"/>
      <c r="AE519" s="775"/>
      <c r="AF519" s="775"/>
      <c r="AG519" s="778"/>
      <c r="AH519" s="775"/>
      <c r="AI519" s="783"/>
      <c r="AJ519" s="172">
        <v>2.7699999999999999E-2</v>
      </c>
      <c r="AK519" s="775"/>
    </row>
    <row r="520" spans="1:37">
      <c r="A520" s="115" t="s">
        <v>1045</v>
      </c>
      <c r="B520" s="75" t="s">
        <v>1046</v>
      </c>
      <c r="C520" s="65" t="s">
        <v>985</v>
      </c>
      <c r="D520" s="781"/>
      <c r="E520" s="781"/>
      <c r="F520" s="781"/>
      <c r="G520" s="788"/>
      <c r="H520" s="781"/>
      <c r="I520" s="75" t="s">
        <v>239</v>
      </c>
      <c r="J520" s="411">
        <v>107</v>
      </c>
      <c r="K520" s="76" t="s">
        <v>122</v>
      </c>
      <c r="L520" s="75" t="s">
        <v>122</v>
      </c>
      <c r="M520" s="173">
        <v>0.10078057241977444</v>
      </c>
      <c r="N520" s="408">
        <v>6.7530099999999996E-2</v>
      </c>
      <c r="O520" s="220" t="s">
        <v>990</v>
      </c>
      <c r="P520" s="220" t="s">
        <v>122</v>
      </c>
      <c r="Q520" s="225" t="s">
        <v>122</v>
      </c>
      <c r="R520" s="784"/>
      <c r="S520" s="786"/>
      <c r="T520" s="69" t="s">
        <v>122</v>
      </c>
      <c r="U520" s="776"/>
      <c r="V520" s="776"/>
      <c r="W520" s="70" t="s">
        <v>122</v>
      </c>
      <c r="X520" s="70" t="s">
        <v>122</v>
      </c>
      <c r="Y520" s="776"/>
      <c r="Z520" s="776"/>
      <c r="AA520" s="776"/>
      <c r="AB520" s="778"/>
      <c r="AC520" s="778"/>
      <c r="AD520" s="776"/>
      <c r="AE520" s="776"/>
      <c r="AF520" s="776"/>
      <c r="AG520" s="778"/>
      <c r="AH520" s="776"/>
      <c r="AI520" s="784"/>
      <c r="AJ520" s="173">
        <v>2.7699999999999999E-2</v>
      </c>
      <c r="AK520" s="776"/>
    </row>
    <row r="521" spans="1:37">
      <c r="A521" s="110" t="s">
        <v>1047</v>
      </c>
      <c r="B521" s="65" t="s">
        <v>1048</v>
      </c>
      <c r="C521" s="65" t="s">
        <v>985</v>
      </c>
      <c r="D521" s="780" t="s">
        <v>43</v>
      </c>
      <c r="E521" s="780" t="s">
        <v>44</v>
      </c>
      <c r="F521" s="780" t="s">
        <v>55</v>
      </c>
      <c r="G521" s="787" t="s">
        <v>58</v>
      </c>
      <c r="H521" s="780" t="s">
        <v>62</v>
      </c>
      <c r="I521" s="65" t="s">
        <v>239</v>
      </c>
      <c r="J521" s="71">
        <v>97121</v>
      </c>
      <c r="K521" s="70" t="s">
        <v>122</v>
      </c>
      <c r="L521" s="65" t="s">
        <v>122</v>
      </c>
      <c r="M521" s="172">
        <v>0.25739476520143872</v>
      </c>
      <c r="N521" s="169">
        <v>0.30924794143465223</v>
      </c>
      <c r="O521" s="218" t="s">
        <v>219</v>
      </c>
      <c r="P521" s="218" t="s">
        <v>122</v>
      </c>
      <c r="Q521" s="410" t="s">
        <v>122</v>
      </c>
      <c r="R521" s="783">
        <v>3.5000000000000001E-3</v>
      </c>
      <c r="S521" s="785">
        <v>4.8329999999999998E-4</v>
      </c>
      <c r="T521" s="66" t="s">
        <v>122</v>
      </c>
      <c r="U521" s="774">
        <v>14848</v>
      </c>
      <c r="V521" s="774">
        <v>11686</v>
      </c>
      <c r="W521" s="67" t="s">
        <v>122</v>
      </c>
      <c r="X521" s="67" t="s">
        <v>122</v>
      </c>
      <c r="Y521" s="774">
        <v>214</v>
      </c>
      <c r="Z521" s="774">
        <v>1135</v>
      </c>
      <c r="AA521" s="774">
        <v>152</v>
      </c>
      <c r="AB521" s="777" t="s">
        <v>122</v>
      </c>
      <c r="AC521" s="777" t="s">
        <v>122</v>
      </c>
      <c r="AD521" s="774">
        <v>904</v>
      </c>
      <c r="AE521" s="774">
        <v>904</v>
      </c>
      <c r="AF521" s="774">
        <v>148</v>
      </c>
      <c r="AG521" s="777" t="s">
        <v>122</v>
      </c>
      <c r="AH521" s="774">
        <v>609</v>
      </c>
      <c r="AI521" s="783">
        <v>1.2999999999999999E-3</v>
      </c>
      <c r="AJ521" s="172">
        <v>2.07E-2</v>
      </c>
      <c r="AK521" s="774">
        <v>488</v>
      </c>
    </row>
    <row r="522" spans="1:37">
      <c r="A522" s="110" t="s">
        <v>1049</v>
      </c>
      <c r="B522" s="65" t="s">
        <v>1050</v>
      </c>
      <c r="C522" s="65" t="s">
        <v>985</v>
      </c>
      <c r="D522" s="781"/>
      <c r="E522" s="781"/>
      <c r="F522" s="781"/>
      <c r="G522" s="788"/>
      <c r="H522" s="781"/>
      <c r="I522" s="65" t="s">
        <v>46</v>
      </c>
      <c r="J522" s="406">
        <v>43359</v>
      </c>
      <c r="K522" s="70" t="s">
        <v>122</v>
      </c>
      <c r="L522" s="65" t="s">
        <v>122</v>
      </c>
      <c r="M522" s="172">
        <v>0.2214195651147691</v>
      </c>
      <c r="N522" s="169">
        <v>0.27813912056307433</v>
      </c>
      <c r="O522" s="220" t="s">
        <v>990</v>
      </c>
      <c r="P522" s="220" t="s">
        <v>122</v>
      </c>
      <c r="Q522" s="410" t="s">
        <v>122</v>
      </c>
      <c r="R522" s="783"/>
      <c r="S522" s="785"/>
      <c r="T522" s="69" t="s">
        <v>122</v>
      </c>
      <c r="U522" s="775"/>
      <c r="V522" s="775"/>
      <c r="W522" s="70" t="s">
        <v>122</v>
      </c>
      <c r="X522" s="70" t="s">
        <v>122</v>
      </c>
      <c r="Y522" s="775"/>
      <c r="Z522" s="775"/>
      <c r="AA522" s="775"/>
      <c r="AB522" s="778"/>
      <c r="AC522" s="778"/>
      <c r="AD522" s="775"/>
      <c r="AE522" s="775"/>
      <c r="AF522" s="775"/>
      <c r="AG522" s="778"/>
      <c r="AH522" s="775"/>
      <c r="AI522" s="783"/>
      <c r="AJ522" s="172">
        <v>2.5700000000000001E-2</v>
      </c>
      <c r="AK522" s="775"/>
    </row>
    <row r="523" spans="1:37">
      <c r="A523" s="110" t="s">
        <v>1051</v>
      </c>
      <c r="B523" s="65" t="s">
        <v>1052</v>
      </c>
      <c r="C523" s="65" t="s">
        <v>985</v>
      </c>
      <c r="D523" s="781"/>
      <c r="E523" s="781"/>
      <c r="F523" s="781"/>
      <c r="G523" s="788"/>
      <c r="H523" s="781"/>
      <c r="I523" s="65" t="s">
        <v>69</v>
      </c>
      <c r="J523" s="406">
        <v>447341</v>
      </c>
      <c r="K523" s="70" t="s">
        <v>122</v>
      </c>
      <c r="L523" s="65" t="s">
        <v>122</v>
      </c>
      <c r="M523" s="172">
        <v>0.19828074407018514</v>
      </c>
      <c r="N523" s="169">
        <v>0.2539318776204349</v>
      </c>
      <c r="O523" s="220" t="s">
        <v>990</v>
      </c>
      <c r="P523" s="220" t="s">
        <v>122</v>
      </c>
      <c r="Q523" s="410" t="s">
        <v>122</v>
      </c>
      <c r="R523" s="783"/>
      <c r="S523" s="785"/>
      <c r="T523" s="69" t="s">
        <v>122</v>
      </c>
      <c r="U523" s="775"/>
      <c r="V523" s="775"/>
      <c r="W523" s="70" t="s">
        <v>122</v>
      </c>
      <c r="X523" s="70" t="s">
        <v>122</v>
      </c>
      <c r="Y523" s="775"/>
      <c r="Z523" s="775"/>
      <c r="AA523" s="775"/>
      <c r="AB523" s="778"/>
      <c r="AC523" s="778"/>
      <c r="AD523" s="775"/>
      <c r="AE523" s="775"/>
      <c r="AF523" s="775"/>
      <c r="AG523" s="778"/>
      <c r="AH523" s="775"/>
      <c r="AI523" s="783"/>
      <c r="AJ523" s="172">
        <v>2.5700000000000001E-2</v>
      </c>
      <c r="AK523" s="775"/>
    </row>
    <row r="524" spans="1:37">
      <c r="A524" s="110" t="s">
        <v>1053</v>
      </c>
      <c r="B524" s="65" t="s">
        <v>1054</v>
      </c>
      <c r="C524" s="65" t="s">
        <v>985</v>
      </c>
      <c r="D524" s="781"/>
      <c r="E524" s="781"/>
      <c r="F524" s="781"/>
      <c r="G524" s="788"/>
      <c r="H524" s="781"/>
      <c r="I524" s="65" t="s">
        <v>239</v>
      </c>
      <c r="J524" s="409">
        <v>132</v>
      </c>
      <c r="K524" s="76" t="s">
        <v>122</v>
      </c>
      <c r="L524" s="75" t="s">
        <v>122</v>
      </c>
      <c r="M524" s="173">
        <v>0.25128901728574582</v>
      </c>
      <c r="N524" s="408">
        <v>0.30924794143465223</v>
      </c>
      <c r="O524" s="220" t="s">
        <v>990</v>
      </c>
      <c r="P524" s="220" t="s">
        <v>122</v>
      </c>
      <c r="Q524" s="410" t="s">
        <v>122</v>
      </c>
      <c r="R524" s="784"/>
      <c r="S524" s="786"/>
      <c r="T524" s="69" t="s">
        <v>122</v>
      </c>
      <c r="U524" s="776"/>
      <c r="V524" s="776"/>
      <c r="W524" s="70" t="s">
        <v>122</v>
      </c>
      <c r="X524" s="70" t="s">
        <v>122</v>
      </c>
      <c r="Y524" s="776"/>
      <c r="Z524" s="776"/>
      <c r="AA524" s="776"/>
      <c r="AB524" s="778"/>
      <c r="AC524" s="778"/>
      <c r="AD524" s="776"/>
      <c r="AE524" s="776"/>
      <c r="AF524" s="776"/>
      <c r="AG524" s="778"/>
      <c r="AH524" s="776"/>
      <c r="AI524" s="784"/>
      <c r="AJ524" s="173">
        <v>2.5700000000000001E-2</v>
      </c>
      <c r="AK524" s="776"/>
    </row>
    <row r="525" spans="1:37">
      <c r="A525" s="412" t="s">
        <v>1055</v>
      </c>
      <c r="B525" s="74" t="s">
        <v>1056</v>
      </c>
      <c r="C525" s="74" t="s">
        <v>985</v>
      </c>
      <c r="D525" s="780" t="s">
        <v>43</v>
      </c>
      <c r="E525" s="780" t="s">
        <v>44</v>
      </c>
      <c r="F525" s="780" t="s">
        <v>55</v>
      </c>
      <c r="G525" s="780" t="s">
        <v>58</v>
      </c>
      <c r="H525" s="780" t="s">
        <v>62</v>
      </c>
      <c r="I525" s="74" t="s">
        <v>69</v>
      </c>
      <c r="J525" s="406">
        <v>8341921</v>
      </c>
      <c r="K525" s="70" t="s">
        <v>122</v>
      </c>
      <c r="L525" s="65" t="s">
        <v>122</v>
      </c>
      <c r="M525" s="172">
        <v>-6.355226727231672E-2</v>
      </c>
      <c r="N525" s="169">
        <v>-5.0423723916066428E-2</v>
      </c>
      <c r="O525" s="218" t="s">
        <v>219</v>
      </c>
      <c r="P525" s="218" t="s">
        <v>122</v>
      </c>
      <c r="Q525" s="224" t="s">
        <v>122</v>
      </c>
      <c r="R525" s="783">
        <v>3.5000000000000001E-3</v>
      </c>
      <c r="S525" s="785"/>
      <c r="T525" s="66" t="s">
        <v>122</v>
      </c>
      <c r="U525" s="774">
        <v>148864</v>
      </c>
      <c r="V525" s="774">
        <v>138082</v>
      </c>
      <c r="W525" s="67" t="s">
        <v>122</v>
      </c>
      <c r="X525" s="67" t="s">
        <v>122</v>
      </c>
      <c r="Y525" s="774">
        <v>3030</v>
      </c>
      <c r="Z525" s="774">
        <v>3107</v>
      </c>
      <c r="AA525" s="774">
        <v>2242</v>
      </c>
      <c r="AB525" s="777" t="s">
        <v>122</v>
      </c>
      <c r="AC525" s="777" t="s">
        <v>122</v>
      </c>
      <c r="AD525" s="774">
        <v>1122</v>
      </c>
      <c r="AE525" s="774">
        <v>1122</v>
      </c>
      <c r="AF525" s="774">
        <v>118</v>
      </c>
      <c r="AG525" s="777" t="s">
        <v>122</v>
      </c>
      <c r="AH525" s="774">
        <v>1163</v>
      </c>
      <c r="AI525" s="783">
        <v>6.6E-3</v>
      </c>
      <c r="AJ525" s="172">
        <v>2.2800000000000001E-2</v>
      </c>
      <c r="AK525" s="774">
        <v>33603</v>
      </c>
    </row>
    <row r="526" spans="1:37">
      <c r="A526" s="413" t="s">
        <v>1057</v>
      </c>
      <c r="B526" s="65" t="s">
        <v>1058</v>
      </c>
      <c r="C526" s="65" t="s">
        <v>985</v>
      </c>
      <c r="D526" s="781"/>
      <c r="E526" s="781"/>
      <c r="F526" s="781"/>
      <c r="G526" s="781"/>
      <c r="H526" s="781"/>
      <c r="I526" s="65" t="s">
        <v>46</v>
      </c>
      <c r="J526" s="406">
        <v>312</v>
      </c>
      <c r="K526" s="70" t="s">
        <v>122</v>
      </c>
      <c r="L526" s="65" t="s">
        <v>122</v>
      </c>
      <c r="M526" s="172">
        <v>-5.0223380093202742E-2</v>
      </c>
      <c r="N526" s="169">
        <v>-3.2103085817980936E-2</v>
      </c>
      <c r="O526" s="220" t="s">
        <v>990</v>
      </c>
      <c r="P526" s="220" t="s">
        <v>122</v>
      </c>
      <c r="Q526" s="410" t="s">
        <v>122</v>
      </c>
      <c r="R526" s="783"/>
      <c r="S526" s="785"/>
      <c r="T526" s="69" t="s">
        <v>122</v>
      </c>
      <c r="U526" s="775"/>
      <c r="V526" s="775"/>
      <c r="W526" s="70" t="s">
        <v>122</v>
      </c>
      <c r="X526" s="70" t="s">
        <v>122</v>
      </c>
      <c r="Y526" s="775"/>
      <c r="Z526" s="775"/>
      <c r="AA526" s="775"/>
      <c r="AB526" s="778"/>
      <c r="AC526" s="778"/>
      <c r="AD526" s="775"/>
      <c r="AE526" s="775"/>
      <c r="AF526" s="775"/>
      <c r="AG526" s="778"/>
      <c r="AH526" s="775"/>
      <c r="AI526" s="783"/>
      <c r="AJ526" s="172">
        <v>2.7799999999999998E-2</v>
      </c>
      <c r="AK526" s="775"/>
    </row>
    <row r="527" spans="1:37">
      <c r="A527" s="413" t="s">
        <v>1059</v>
      </c>
      <c r="B527" s="65" t="s">
        <v>1060</v>
      </c>
      <c r="C527" s="65" t="s">
        <v>985</v>
      </c>
      <c r="D527" s="781"/>
      <c r="E527" s="781"/>
      <c r="F527" s="781"/>
      <c r="G527" s="781"/>
      <c r="H527" s="781"/>
      <c r="I527" s="65" t="s">
        <v>69</v>
      </c>
      <c r="J527" s="406">
        <v>627484</v>
      </c>
      <c r="K527" s="70" t="s">
        <v>122</v>
      </c>
      <c r="L527" s="65" t="s">
        <v>122</v>
      </c>
      <c r="M527" s="172">
        <v>-6.8384651304629562E-2</v>
      </c>
      <c r="N527" s="169">
        <v>-5.0423723916066428E-2</v>
      </c>
      <c r="O527" s="220" t="s">
        <v>990</v>
      </c>
      <c r="P527" s="220" t="s">
        <v>122</v>
      </c>
      <c r="Q527" s="410" t="s">
        <v>122</v>
      </c>
      <c r="R527" s="783"/>
      <c r="S527" s="785"/>
      <c r="T527" s="69" t="s">
        <v>122</v>
      </c>
      <c r="U527" s="775"/>
      <c r="V527" s="775"/>
      <c r="W527" s="70" t="s">
        <v>122</v>
      </c>
      <c r="X527" s="70" t="s">
        <v>122</v>
      </c>
      <c r="Y527" s="775"/>
      <c r="Z527" s="775"/>
      <c r="AA527" s="775"/>
      <c r="AB527" s="778"/>
      <c r="AC527" s="778"/>
      <c r="AD527" s="775"/>
      <c r="AE527" s="775"/>
      <c r="AF527" s="775"/>
      <c r="AG527" s="778"/>
      <c r="AH527" s="775"/>
      <c r="AI527" s="783"/>
      <c r="AJ527" s="172">
        <v>2.7799999999999998E-2</v>
      </c>
      <c r="AK527" s="775"/>
    </row>
    <row r="528" spans="1:37">
      <c r="A528" s="414" t="s">
        <v>1061</v>
      </c>
      <c r="B528" s="75" t="s">
        <v>1062</v>
      </c>
      <c r="C528" s="75" t="s">
        <v>985</v>
      </c>
      <c r="D528" s="782"/>
      <c r="E528" s="782"/>
      <c r="F528" s="782"/>
      <c r="G528" s="782"/>
      <c r="H528" s="782"/>
      <c r="I528" s="75" t="s">
        <v>239</v>
      </c>
      <c r="J528" s="411">
        <v>105</v>
      </c>
      <c r="K528" s="76" t="s">
        <v>122</v>
      </c>
      <c r="L528" s="75" t="s">
        <v>122</v>
      </c>
      <c r="M528" s="173">
        <v>-2.6314509046410767E-2</v>
      </c>
      <c r="N528" s="408">
        <v>-7.374634932138302E-3</v>
      </c>
      <c r="O528" s="222" t="s">
        <v>990</v>
      </c>
      <c r="P528" s="222" t="s">
        <v>122</v>
      </c>
      <c r="Q528" s="225" t="s">
        <v>122</v>
      </c>
      <c r="R528" s="784"/>
      <c r="S528" s="786"/>
      <c r="T528" s="72" t="s">
        <v>122</v>
      </c>
      <c r="U528" s="776"/>
      <c r="V528" s="776"/>
      <c r="W528" s="76" t="s">
        <v>122</v>
      </c>
      <c r="X528" s="76" t="s">
        <v>122</v>
      </c>
      <c r="Y528" s="776"/>
      <c r="Z528" s="776"/>
      <c r="AA528" s="776"/>
      <c r="AB528" s="779"/>
      <c r="AC528" s="779"/>
      <c r="AD528" s="776"/>
      <c r="AE528" s="776"/>
      <c r="AF528" s="776"/>
      <c r="AG528" s="779"/>
      <c r="AH528" s="776"/>
      <c r="AI528" s="784"/>
      <c r="AJ528" s="173">
        <v>2.7799999999999998E-2</v>
      </c>
      <c r="AK528" s="776"/>
    </row>
    <row r="529" spans="1:37">
      <c r="A529" s="116" t="s">
        <v>1063</v>
      </c>
      <c r="B529" s="78" t="s">
        <v>1064</v>
      </c>
      <c r="C529" s="78" t="s">
        <v>1065</v>
      </c>
      <c r="D529" s="755" t="s">
        <v>43</v>
      </c>
      <c r="E529" s="755" t="s">
        <v>44</v>
      </c>
      <c r="F529" s="755" t="s">
        <v>55</v>
      </c>
      <c r="G529" s="755" t="s">
        <v>830</v>
      </c>
      <c r="H529" s="755" t="s">
        <v>62</v>
      </c>
      <c r="I529" s="747" t="s">
        <v>46</v>
      </c>
      <c r="J529" s="739">
        <v>3645207162.5298805</v>
      </c>
      <c r="K529" s="739">
        <v>0</v>
      </c>
      <c r="L529" s="747"/>
      <c r="M529" s="749">
        <v>-3.5274E-2</v>
      </c>
      <c r="N529" s="749">
        <v>-4.3721000000000003E-2</v>
      </c>
      <c r="O529" s="751" t="s">
        <v>1066</v>
      </c>
      <c r="P529" s="751">
        <v>0</v>
      </c>
      <c r="Q529" s="751" t="s">
        <v>1067</v>
      </c>
      <c r="R529" s="741" t="s">
        <v>1068</v>
      </c>
      <c r="S529" s="743">
        <v>2.5000000000000001E-4</v>
      </c>
      <c r="T529" s="745" t="s">
        <v>1069</v>
      </c>
      <c r="U529" s="739">
        <v>83087560</v>
      </c>
      <c r="V529" s="739">
        <v>73628197</v>
      </c>
      <c r="W529" s="739">
        <v>0</v>
      </c>
      <c r="X529" s="739">
        <v>0</v>
      </c>
      <c r="Y529" s="739">
        <v>5522114</v>
      </c>
      <c r="Z529" s="739">
        <f>417830+2392680</f>
        <v>2810510</v>
      </c>
      <c r="AA529" s="739">
        <v>911911</v>
      </c>
      <c r="AB529" s="739">
        <v>0</v>
      </c>
      <c r="AC529" s="739">
        <v>0</v>
      </c>
      <c r="AD529" s="739">
        <f>111748+102480</f>
        <v>214228</v>
      </c>
      <c r="AE529" s="760">
        <v>0</v>
      </c>
      <c r="AF529" s="739">
        <v>600</v>
      </c>
      <c r="AG529" s="739">
        <v>0</v>
      </c>
      <c r="AH529" s="739">
        <v>0</v>
      </c>
      <c r="AI529" s="762">
        <v>1.04E-2</v>
      </c>
      <c r="AJ529" s="737">
        <v>2.9899999999999999E-2</v>
      </c>
      <c r="AK529" s="739">
        <v>19970529</v>
      </c>
    </row>
    <row r="530" spans="1:37">
      <c r="A530" s="117" t="s">
        <v>1070</v>
      </c>
      <c r="B530" s="79" t="s">
        <v>1071</v>
      </c>
      <c r="C530" s="79" t="s">
        <v>1065</v>
      </c>
      <c r="D530" s="748"/>
      <c r="E530" s="748"/>
      <c r="F530" s="748"/>
      <c r="G530" s="748"/>
      <c r="H530" s="748"/>
      <c r="I530" s="748"/>
      <c r="J530" s="740"/>
      <c r="K530" s="740"/>
      <c r="L530" s="748"/>
      <c r="M530" s="750"/>
      <c r="N530" s="750"/>
      <c r="O530" s="752"/>
      <c r="P530" s="752"/>
      <c r="Q530" s="752"/>
      <c r="R530" s="742"/>
      <c r="S530" s="744"/>
      <c r="T530" s="746"/>
      <c r="U530" s="740"/>
      <c r="V530" s="740"/>
      <c r="W530" s="740"/>
      <c r="X530" s="740"/>
      <c r="Y530" s="740"/>
      <c r="Z530" s="740"/>
      <c r="AA530" s="740"/>
      <c r="AB530" s="740"/>
      <c r="AC530" s="740"/>
      <c r="AD530" s="740"/>
      <c r="AE530" s="761"/>
      <c r="AF530" s="740"/>
      <c r="AG530" s="740"/>
      <c r="AH530" s="740"/>
      <c r="AI530" s="763"/>
      <c r="AJ530" s="738"/>
      <c r="AK530" s="740"/>
    </row>
    <row r="531" spans="1:37">
      <c r="A531" s="116" t="s">
        <v>1072</v>
      </c>
      <c r="B531" s="78" t="s">
        <v>1073</v>
      </c>
      <c r="C531" s="78" t="s">
        <v>1065</v>
      </c>
      <c r="D531" s="755" t="s">
        <v>43</v>
      </c>
      <c r="E531" s="755" t="s">
        <v>44</v>
      </c>
      <c r="F531" s="755" t="s">
        <v>55</v>
      </c>
      <c r="G531" s="755" t="s">
        <v>58</v>
      </c>
      <c r="H531" s="755" t="s">
        <v>62</v>
      </c>
      <c r="I531" s="747" t="s">
        <v>46</v>
      </c>
      <c r="J531" s="739">
        <v>389654069.89641434</v>
      </c>
      <c r="K531" s="739">
        <v>0</v>
      </c>
      <c r="L531" s="747"/>
      <c r="M531" s="749">
        <v>-8.9486999999999997E-2</v>
      </c>
      <c r="N531" s="749">
        <v>-6.0664999999999997E-2</v>
      </c>
      <c r="O531" s="751" t="s">
        <v>1074</v>
      </c>
      <c r="P531" s="751">
        <v>0</v>
      </c>
      <c r="Q531" s="751" t="s">
        <v>1067</v>
      </c>
      <c r="R531" s="741" t="s">
        <v>1075</v>
      </c>
      <c r="S531" s="743">
        <v>2.5000000000000001E-4</v>
      </c>
      <c r="T531" s="741" t="s">
        <v>1067</v>
      </c>
      <c r="U531" s="739">
        <v>4900753</v>
      </c>
      <c r="V531" s="739">
        <v>3934419</v>
      </c>
      <c r="W531" s="739">
        <v>0</v>
      </c>
      <c r="X531" s="739">
        <v>0</v>
      </c>
      <c r="Y531" s="739">
        <v>314742</v>
      </c>
      <c r="Z531" s="739">
        <f>417830</f>
        <v>417830</v>
      </c>
      <c r="AA531" s="739">
        <v>97426</v>
      </c>
      <c r="AB531" s="739">
        <v>0</v>
      </c>
      <c r="AC531" s="739">
        <v>0</v>
      </c>
      <c r="AD531" s="739">
        <f>85841+49895</f>
        <v>135736</v>
      </c>
      <c r="AE531" s="760">
        <v>0</v>
      </c>
      <c r="AF531" s="739">
        <v>600</v>
      </c>
      <c r="AG531" s="739">
        <v>0</v>
      </c>
      <c r="AH531" s="739">
        <v>0</v>
      </c>
      <c r="AI531" s="762">
        <v>4.0000000000000001E-3</v>
      </c>
      <c r="AJ531" s="737">
        <v>1.4999999999999999E-2</v>
      </c>
      <c r="AK531" s="739">
        <v>66266</v>
      </c>
    </row>
    <row r="532" spans="1:37">
      <c r="A532" s="117" t="s">
        <v>1076</v>
      </c>
      <c r="B532" s="79" t="s">
        <v>1077</v>
      </c>
      <c r="C532" s="79" t="s">
        <v>1065</v>
      </c>
      <c r="D532" s="748"/>
      <c r="E532" s="748"/>
      <c r="F532" s="748"/>
      <c r="G532" s="748"/>
      <c r="H532" s="748"/>
      <c r="I532" s="748"/>
      <c r="J532" s="740"/>
      <c r="K532" s="740"/>
      <c r="L532" s="748"/>
      <c r="M532" s="750"/>
      <c r="N532" s="750"/>
      <c r="O532" s="752"/>
      <c r="P532" s="752"/>
      <c r="Q532" s="752"/>
      <c r="R532" s="742"/>
      <c r="S532" s="744"/>
      <c r="T532" s="742"/>
      <c r="U532" s="740"/>
      <c r="V532" s="740"/>
      <c r="W532" s="740"/>
      <c r="X532" s="740"/>
      <c r="Y532" s="740"/>
      <c r="Z532" s="740"/>
      <c r="AA532" s="740"/>
      <c r="AB532" s="740"/>
      <c r="AC532" s="740"/>
      <c r="AD532" s="740"/>
      <c r="AE532" s="761"/>
      <c r="AF532" s="740"/>
      <c r="AG532" s="740"/>
      <c r="AH532" s="740"/>
      <c r="AI532" s="763"/>
      <c r="AJ532" s="738"/>
      <c r="AK532" s="740"/>
    </row>
    <row r="533" spans="1:37">
      <c r="A533" s="118" t="s">
        <v>1078</v>
      </c>
      <c r="B533" s="80" t="s">
        <v>1079</v>
      </c>
      <c r="C533" s="80" t="s">
        <v>1065</v>
      </c>
      <c r="D533" s="98" t="s">
        <v>43</v>
      </c>
      <c r="E533" s="98" t="s">
        <v>44</v>
      </c>
      <c r="F533" s="98" t="s">
        <v>1348</v>
      </c>
      <c r="G533" s="98" t="s">
        <v>641</v>
      </c>
      <c r="H533" s="98" t="s">
        <v>45</v>
      </c>
      <c r="I533" s="80" t="s">
        <v>46</v>
      </c>
      <c r="J533" s="84">
        <v>47441689792.737053</v>
      </c>
      <c r="K533" s="84">
        <v>0</v>
      </c>
      <c r="L533" s="80"/>
      <c r="M533" s="85">
        <v>4.0163999999999998E-2</v>
      </c>
      <c r="N533" s="85">
        <v>4.4706999999999997E-2</v>
      </c>
      <c r="O533" s="87" t="s">
        <v>1074</v>
      </c>
      <c r="P533" s="87">
        <v>0</v>
      </c>
      <c r="Q533" s="87" t="s">
        <v>1067</v>
      </c>
      <c r="R533" s="81">
        <v>0</v>
      </c>
      <c r="S533" s="82">
        <v>2.5000000000000001E-4</v>
      </c>
      <c r="T533" s="81" t="s">
        <v>1067</v>
      </c>
      <c r="U533" s="84">
        <v>562136350</v>
      </c>
      <c r="V533" s="84">
        <f>495652072+51734724</f>
        <v>547386796</v>
      </c>
      <c r="W533" s="84">
        <v>0</v>
      </c>
      <c r="X533" s="84">
        <v>0</v>
      </c>
      <c r="Y533" s="84" t="s">
        <v>82</v>
      </c>
      <c r="Z533" s="84">
        <f>2392680+417830</f>
        <v>2810510</v>
      </c>
      <c r="AA533" s="84">
        <v>11847435</v>
      </c>
      <c r="AB533" s="84">
        <v>0</v>
      </c>
      <c r="AC533" s="84">
        <v>0</v>
      </c>
      <c r="AD533" s="84">
        <v>89250</v>
      </c>
      <c r="AE533" s="84">
        <v>0</v>
      </c>
      <c r="AF533" s="84">
        <v>2359</v>
      </c>
      <c r="AG533" s="84">
        <v>0</v>
      </c>
      <c r="AH533" s="84">
        <v>0</v>
      </c>
      <c r="AI533" s="86">
        <v>0</v>
      </c>
      <c r="AJ533" s="86">
        <v>1.14E-2</v>
      </c>
      <c r="AK533" s="84">
        <v>0</v>
      </c>
    </row>
    <row r="534" spans="1:37">
      <c r="A534" s="118" t="s">
        <v>1080</v>
      </c>
      <c r="B534" s="80" t="s">
        <v>1081</v>
      </c>
      <c r="C534" s="80" t="s">
        <v>1065</v>
      </c>
      <c r="D534" s="98" t="s">
        <v>43</v>
      </c>
      <c r="E534" s="98" t="s">
        <v>44</v>
      </c>
      <c r="F534" s="98" t="s">
        <v>884</v>
      </c>
      <c r="G534" s="98" t="s">
        <v>97</v>
      </c>
      <c r="H534" s="98" t="s">
        <v>45</v>
      </c>
      <c r="I534" s="80" t="s">
        <v>46</v>
      </c>
      <c r="J534" s="84">
        <v>15157238329.529881</v>
      </c>
      <c r="K534" s="84">
        <v>0</v>
      </c>
      <c r="L534" s="80"/>
      <c r="M534" s="85">
        <v>4.6430000000000004E-3</v>
      </c>
      <c r="N534" s="85" t="s">
        <v>554</v>
      </c>
      <c r="O534" s="87" t="s">
        <v>1074</v>
      </c>
      <c r="P534" s="87">
        <v>0</v>
      </c>
      <c r="Q534" s="87" t="s">
        <v>1067</v>
      </c>
      <c r="R534" s="81" t="s">
        <v>1082</v>
      </c>
      <c r="S534" s="82">
        <v>2.5000000000000001E-4</v>
      </c>
      <c r="T534" s="81" t="s">
        <v>1067</v>
      </c>
      <c r="U534" s="84">
        <v>262889515</v>
      </c>
      <c r="V534" s="84">
        <v>228714348</v>
      </c>
      <c r="W534" s="84">
        <v>0</v>
      </c>
      <c r="X534" s="84">
        <v>0</v>
      </c>
      <c r="Y534" s="84">
        <v>15247632</v>
      </c>
      <c r="Z534" s="84">
        <f>2392680+431800</f>
        <v>2824480</v>
      </c>
      <c r="AA534" s="84">
        <v>3788424</v>
      </c>
      <c r="AB534" s="84">
        <v>0</v>
      </c>
      <c r="AC534" s="84">
        <v>0</v>
      </c>
      <c r="AD534" s="84">
        <f>686209+7657172</f>
        <v>8343381</v>
      </c>
      <c r="AE534" s="84">
        <v>0</v>
      </c>
      <c r="AF534" s="84">
        <v>462605</v>
      </c>
      <c r="AG534" s="84">
        <v>0</v>
      </c>
      <c r="AH534" s="84">
        <v>3508645</v>
      </c>
      <c r="AI534" s="86">
        <v>0</v>
      </c>
      <c r="AJ534" s="86">
        <v>1.66E-2</v>
      </c>
      <c r="AK534" s="84">
        <v>0</v>
      </c>
    </row>
    <row r="535" spans="1:37">
      <c r="A535" s="118" t="s">
        <v>1083</v>
      </c>
      <c r="B535" s="80" t="s">
        <v>1084</v>
      </c>
      <c r="C535" s="80" t="s">
        <v>1065</v>
      </c>
      <c r="D535" s="98" t="s">
        <v>43</v>
      </c>
      <c r="E535" s="98" t="s">
        <v>44</v>
      </c>
      <c r="F535" s="98" t="s">
        <v>884</v>
      </c>
      <c r="G535" s="98" t="s">
        <v>97</v>
      </c>
      <c r="H535" s="98" t="s">
        <v>45</v>
      </c>
      <c r="I535" s="80" t="s">
        <v>46</v>
      </c>
      <c r="J535" s="84">
        <v>703636445.84063745</v>
      </c>
      <c r="K535" s="84">
        <v>0</v>
      </c>
      <c r="L535" s="80"/>
      <c r="M535" s="85">
        <v>3.1308000000000002E-2</v>
      </c>
      <c r="N535" s="85" t="s">
        <v>554</v>
      </c>
      <c r="O535" s="87" t="s">
        <v>1085</v>
      </c>
      <c r="P535" s="87">
        <v>0</v>
      </c>
      <c r="Q535" s="87" t="s">
        <v>1067</v>
      </c>
      <c r="R535" s="81" t="s">
        <v>1086</v>
      </c>
      <c r="S535" s="82">
        <v>2.5000000000000001E-4</v>
      </c>
      <c r="T535" s="81" t="s">
        <v>1067</v>
      </c>
      <c r="U535" s="84">
        <v>9246438</v>
      </c>
      <c r="V535" s="84">
        <v>7051892</v>
      </c>
      <c r="W535" s="84">
        <v>0</v>
      </c>
      <c r="X535" s="84">
        <v>0</v>
      </c>
      <c r="Y535" s="84">
        <v>846235</v>
      </c>
      <c r="Z535" s="84">
        <v>431800</v>
      </c>
      <c r="AA535" s="84">
        <v>175554</v>
      </c>
      <c r="AB535" s="84">
        <v>0</v>
      </c>
      <c r="AC535" s="84">
        <v>0</v>
      </c>
      <c r="AD535" s="84">
        <f>121129+143852</f>
        <v>264981</v>
      </c>
      <c r="AE535" s="84">
        <v>0</v>
      </c>
      <c r="AF535" s="84">
        <v>11513</v>
      </c>
      <c r="AG535" s="84">
        <v>0</v>
      </c>
      <c r="AH535" s="84">
        <v>464463</v>
      </c>
      <c r="AI535" s="86">
        <v>0</v>
      </c>
      <c r="AJ535" s="86">
        <v>1.23E-2</v>
      </c>
      <c r="AK535" s="84">
        <v>0</v>
      </c>
    </row>
    <row r="536" spans="1:37">
      <c r="A536" s="116" t="s">
        <v>1087</v>
      </c>
      <c r="B536" s="78" t="s">
        <v>1088</v>
      </c>
      <c r="C536" s="78" t="s">
        <v>1065</v>
      </c>
      <c r="D536" s="755" t="s">
        <v>553</v>
      </c>
      <c r="E536" s="773" t="s">
        <v>621</v>
      </c>
      <c r="F536" s="755" t="s">
        <v>132</v>
      </c>
      <c r="G536" s="755" t="s">
        <v>116</v>
      </c>
      <c r="H536" s="755" t="s">
        <v>45</v>
      </c>
      <c r="I536" s="747" t="s">
        <v>46</v>
      </c>
      <c r="J536" s="739">
        <v>32535453660.179283</v>
      </c>
      <c r="K536" s="739">
        <v>0</v>
      </c>
      <c r="L536" s="769"/>
      <c r="M536" s="749">
        <v>0.105771</v>
      </c>
      <c r="N536" s="749">
        <v>3.7615999999999997E-2</v>
      </c>
      <c r="O536" s="751" t="s">
        <v>1066</v>
      </c>
      <c r="P536" s="751">
        <v>0</v>
      </c>
      <c r="Q536" s="751" t="s">
        <v>1067</v>
      </c>
      <c r="R536" s="741" t="s">
        <v>1068</v>
      </c>
      <c r="S536" s="751" t="s">
        <v>1089</v>
      </c>
      <c r="T536" s="741" t="s">
        <v>554</v>
      </c>
      <c r="U536" s="739">
        <v>3103509927</v>
      </c>
      <c r="V536" s="739">
        <v>131433411</v>
      </c>
      <c r="W536" s="739">
        <v>0</v>
      </c>
      <c r="X536" s="739">
        <v>0</v>
      </c>
      <c r="Y536" s="739">
        <v>12063972</v>
      </c>
      <c r="Z536" s="739">
        <f>4500000+7200000</f>
        <v>11700000</v>
      </c>
      <c r="AA536" s="739">
        <v>8138942</v>
      </c>
      <c r="AB536" s="739">
        <v>804822</v>
      </c>
      <c r="AC536" s="739">
        <v>32217500</v>
      </c>
      <c r="AD536" s="739">
        <v>477559</v>
      </c>
      <c r="AE536" s="739">
        <v>0</v>
      </c>
      <c r="AF536" s="739">
        <v>643089</v>
      </c>
      <c r="AG536" s="739">
        <v>2432843263</v>
      </c>
      <c r="AH536" s="739">
        <v>473187369</v>
      </c>
      <c r="AI536" s="737">
        <v>0</v>
      </c>
      <c r="AJ536" s="737">
        <v>1.9099999999999999E-2</v>
      </c>
      <c r="AK536" s="739">
        <v>0</v>
      </c>
    </row>
    <row r="537" spans="1:37">
      <c r="A537" s="119" t="s">
        <v>1090</v>
      </c>
      <c r="B537" s="83" t="s">
        <v>1091</v>
      </c>
      <c r="C537" s="83" t="s">
        <v>1065</v>
      </c>
      <c r="D537" s="770"/>
      <c r="E537" s="770"/>
      <c r="F537" s="770"/>
      <c r="G537" s="770"/>
      <c r="H537" s="770"/>
      <c r="I537" s="770"/>
      <c r="J537" s="767"/>
      <c r="K537" s="767"/>
      <c r="L537" s="770"/>
      <c r="M537" s="771"/>
      <c r="N537" s="771"/>
      <c r="O537" s="772"/>
      <c r="P537" s="772"/>
      <c r="Q537" s="772"/>
      <c r="R537" s="768"/>
      <c r="S537" s="768"/>
      <c r="T537" s="768"/>
      <c r="U537" s="767"/>
      <c r="V537" s="767"/>
      <c r="W537" s="767"/>
      <c r="X537" s="767"/>
      <c r="Y537" s="767"/>
      <c r="Z537" s="767"/>
      <c r="AA537" s="767"/>
      <c r="AB537" s="767"/>
      <c r="AC537" s="767"/>
      <c r="AD537" s="767"/>
      <c r="AE537" s="767"/>
      <c r="AF537" s="767"/>
      <c r="AG537" s="767"/>
      <c r="AH537" s="767"/>
      <c r="AI537" s="766"/>
      <c r="AJ537" s="766"/>
      <c r="AK537" s="767"/>
    </row>
    <row r="538" spans="1:37">
      <c r="A538" s="119" t="s">
        <v>1092</v>
      </c>
      <c r="B538" s="83" t="s">
        <v>1093</v>
      </c>
      <c r="C538" s="83" t="s">
        <v>1065</v>
      </c>
      <c r="D538" s="770"/>
      <c r="E538" s="770"/>
      <c r="F538" s="770"/>
      <c r="G538" s="770"/>
      <c r="H538" s="770"/>
      <c r="I538" s="770"/>
      <c r="J538" s="767"/>
      <c r="K538" s="767"/>
      <c r="L538" s="770"/>
      <c r="M538" s="771"/>
      <c r="N538" s="771"/>
      <c r="O538" s="772"/>
      <c r="P538" s="772"/>
      <c r="Q538" s="772"/>
      <c r="R538" s="768"/>
      <c r="S538" s="768"/>
      <c r="T538" s="768"/>
      <c r="U538" s="767"/>
      <c r="V538" s="767"/>
      <c r="W538" s="767"/>
      <c r="X538" s="767"/>
      <c r="Y538" s="767"/>
      <c r="Z538" s="767"/>
      <c r="AA538" s="767"/>
      <c r="AB538" s="767"/>
      <c r="AC538" s="767"/>
      <c r="AD538" s="767"/>
      <c r="AE538" s="767"/>
      <c r="AF538" s="767"/>
      <c r="AG538" s="767"/>
      <c r="AH538" s="767"/>
      <c r="AI538" s="766"/>
      <c r="AJ538" s="766"/>
      <c r="AK538" s="767"/>
    </row>
    <row r="539" spans="1:37">
      <c r="A539" s="117" t="s">
        <v>1094</v>
      </c>
      <c r="B539" s="79" t="s">
        <v>1095</v>
      </c>
      <c r="C539" s="79" t="s">
        <v>1065</v>
      </c>
      <c r="D539" s="748"/>
      <c r="E539" s="748"/>
      <c r="F539" s="748"/>
      <c r="G539" s="748"/>
      <c r="H539" s="748"/>
      <c r="I539" s="748"/>
      <c r="J539" s="740"/>
      <c r="K539" s="740"/>
      <c r="L539" s="748"/>
      <c r="M539" s="750"/>
      <c r="N539" s="750"/>
      <c r="O539" s="752"/>
      <c r="P539" s="752"/>
      <c r="Q539" s="752"/>
      <c r="R539" s="742"/>
      <c r="S539" s="742"/>
      <c r="T539" s="742"/>
      <c r="U539" s="740"/>
      <c r="V539" s="740"/>
      <c r="W539" s="740"/>
      <c r="X539" s="740"/>
      <c r="Y539" s="740"/>
      <c r="Z539" s="740"/>
      <c r="AA539" s="740"/>
      <c r="AB539" s="740"/>
      <c r="AC539" s="740"/>
      <c r="AD539" s="740"/>
      <c r="AE539" s="740"/>
      <c r="AF539" s="740"/>
      <c r="AG539" s="740"/>
      <c r="AH539" s="740"/>
      <c r="AI539" s="738"/>
      <c r="AJ539" s="738"/>
      <c r="AK539" s="740"/>
    </row>
    <row r="540" spans="1:37">
      <c r="A540" s="116" t="s">
        <v>1096</v>
      </c>
      <c r="B540" s="78" t="s">
        <v>1097</v>
      </c>
      <c r="C540" s="78" t="s">
        <v>1065</v>
      </c>
      <c r="D540" s="755" t="s">
        <v>43</v>
      </c>
      <c r="E540" s="755" t="s">
        <v>44</v>
      </c>
      <c r="F540" s="755" t="s">
        <v>1348</v>
      </c>
      <c r="G540" s="755" t="s">
        <v>48</v>
      </c>
      <c r="H540" s="755" t="s">
        <v>45</v>
      </c>
      <c r="I540" s="747" t="s">
        <v>46</v>
      </c>
      <c r="J540" s="739">
        <v>3998901292.9163346</v>
      </c>
      <c r="K540" s="739">
        <v>0</v>
      </c>
      <c r="L540" s="747"/>
      <c r="M540" s="749">
        <v>9.4408000000000006E-2</v>
      </c>
      <c r="N540" s="749">
        <v>0.100259</v>
      </c>
      <c r="O540" s="751" t="s">
        <v>1074</v>
      </c>
      <c r="P540" s="751">
        <v>0</v>
      </c>
      <c r="Q540" s="751" t="s">
        <v>1067</v>
      </c>
      <c r="R540" s="741" t="s">
        <v>1068</v>
      </c>
      <c r="S540" s="743">
        <v>2.5000000000000001E-4</v>
      </c>
      <c r="T540" s="745" t="s">
        <v>1098</v>
      </c>
      <c r="U540" s="739">
        <v>60573250</v>
      </c>
      <c r="V540" s="739">
        <v>52217848</v>
      </c>
      <c r="W540" s="739">
        <v>0</v>
      </c>
      <c r="X540" s="739">
        <v>0</v>
      </c>
      <c r="Y540" s="739">
        <v>4016765</v>
      </c>
      <c r="Z540" s="739">
        <f>2392680+459740</f>
        <v>2852420</v>
      </c>
      <c r="AA540" s="739">
        <v>998629</v>
      </c>
      <c r="AB540" s="739">
        <v>0</v>
      </c>
      <c r="AC540" s="739">
        <v>0</v>
      </c>
      <c r="AD540" s="739">
        <f>437783</f>
        <v>437783</v>
      </c>
      <c r="AE540" s="739">
        <v>0</v>
      </c>
      <c r="AF540" s="739">
        <v>49805</v>
      </c>
      <c r="AG540" s="739">
        <v>0</v>
      </c>
      <c r="AH540" s="739">
        <v>0</v>
      </c>
      <c r="AI540" s="737">
        <v>0</v>
      </c>
      <c r="AJ540" s="737">
        <v>1.5100000000000001E-2</v>
      </c>
      <c r="AK540" s="739">
        <v>0</v>
      </c>
    </row>
    <row r="541" spans="1:37">
      <c r="A541" s="117" t="s">
        <v>1099</v>
      </c>
      <c r="B541" s="79" t="s">
        <v>1100</v>
      </c>
      <c r="C541" s="79" t="s">
        <v>1065</v>
      </c>
      <c r="D541" s="748"/>
      <c r="E541" s="748"/>
      <c r="F541" s="748"/>
      <c r="G541" s="748"/>
      <c r="H541" s="748"/>
      <c r="I541" s="748"/>
      <c r="J541" s="740"/>
      <c r="K541" s="740"/>
      <c r="L541" s="748"/>
      <c r="M541" s="750"/>
      <c r="N541" s="750"/>
      <c r="O541" s="752"/>
      <c r="P541" s="752"/>
      <c r="Q541" s="752"/>
      <c r="R541" s="742"/>
      <c r="S541" s="744"/>
      <c r="T541" s="765"/>
      <c r="U541" s="740"/>
      <c r="V541" s="740"/>
      <c r="W541" s="740"/>
      <c r="X541" s="740"/>
      <c r="Y541" s="740"/>
      <c r="Z541" s="740"/>
      <c r="AA541" s="740"/>
      <c r="AB541" s="740"/>
      <c r="AC541" s="740"/>
      <c r="AD541" s="740"/>
      <c r="AE541" s="740"/>
      <c r="AF541" s="740"/>
      <c r="AG541" s="740"/>
      <c r="AH541" s="740"/>
      <c r="AI541" s="738"/>
      <c r="AJ541" s="738"/>
      <c r="AK541" s="740"/>
    </row>
    <row r="542" spans="1:37">
      <c r="A542" s="118" t="s">
        <v>1101</v>
      </c>
      <c r="B542" s="80" t="s">
        <v>1102</v>
      </c>
      <c r="C542" s="80" t="s">
        <v>1065</v>
      </c>
      <c r="D542" s="98" t="s">
        <v>43</v>
      </c>
      <c r="E542" s="98" t="s">
        <v>44</v>
      </c>
      <c r="F542" s="98" t="s">
        <v>1348</v>
      </c>
      <c r="G542" s="98" t="s">
        <v>641</v>
      </c>
      <c r="H542" s="98" t="s">
        <v>45</v>
      </c>
      <c r="I542" s="80" t="s">
        <v>46</v>
      </c>
      <c r="J542" s="84">
        <v>14971659128.035856</v>
      </c>
      <c r="K542" s="84">
        <v>0</v>
      </c>
      <c r="L542" s="80"/>
      <c r="M542" s="85">
        <v>3.3307000000000003E-2</v>
      </c>
      <c r="N542" s="85">
        <v>4.4706999999999997E-2</v>
      </c>
      <c r="O542" s="87" t="s">
        <v>1074</v>
      </c>
      <c r="P542" s="87">
        <v>0</v>
      </c>
      <c r="Q542" s="87" t="s">
        <v>1067</v>
      </c>
      <c r="R542" s="81" t="s">
        <v>1082</v>
      </c>
      <c r="S542" s="82">
        <v>2.5000000000000001E-4</v>
      </c>
      <c r="T542" s="81" t="s">
        <v>1067</v>
      </c>
      <c r="U542" s="84">
        <v>231506621</v>
      </c>
      <c r="V542" s="84">
        <v>209673020</v>
      </c>
      <c r="W542" s="84">
        <v>0</v>
      </c>
      <c r="X542" s="84">
        <v>0</v>
      </c>
      <c r="Y542" s="84">
        <v>15084381</v>
      </c>
      <c r="Z542" s="84">
        <f>2392680+417830</f>
        <v>2810510</v>
      </c>
      <c r="AA542" s="84">
        <v>3739864</v>
      </c>
      <c r="AB542" s="84">
        <v>0</v>
      </c>
      <c r="AC542" s="84">
        <v>0</v>
      </c>
      <c r="AD542" s="84">
        <v>162922</v>
      </c>
      <c r="AE542" s="84">
        <v>0</v>
      </c>
      <c r="AF542" s="84">
        <v>35924</v>
      </c>
      <c r="AG542" s="84">
        <v>0</v>
      </c>
      <c r="AH542" s="84">
        <v>0</v>
      </c>
      <c r="AI542" s="86">
        <v>0</v>
      </c>
      <c r="AJ542" s="86">
        <v>1.55E-2</v>
      </c>
      <c r="AK542" s="84">
        <v>0</v>
      </c>
    </row>
    <row r="543" spans="1:37">
      <c r="A543" s="116" t="s">
        <v>1103</v>
      </c>
      <c r="B543" s="78" t="s">
        <v>1104</v>
      </c>
      <c r="C543" s="78" t="s">
        <v>1065</v>
      </c>
      <c r="D543" s="755" t="s">
        <v>43</v>
      </c>
      <c r="E543" s="755" t="s">
        <v>44</v>
      </c>
      <c r="F543" s="755" t="s">
        <v>1348</v>
      </c>
      <c r="G543" s="755" t="s">
        <v>58</v>
      </c>
      <c r="H543" s="755" t="s">
        <v>62</v>
      </c>
      <c r="I543" s="747" t="s">
        <v>46</v>
      </c>
      <c r="J543" s="739">
        <v>1885858655.9681275</v>
      </c>
      <c r="K543" s="739">
        <v>0</v>
      </c>
      <c r="L543" s="747"/>
      <c r="M543" s="749">
        <v>8.6764999999999995E-2</v>
      </c>
      <c r="N543" s="749">
        <v>0.187498</v>
      </c>
      <c r="O543" s="751" t="s">
        <v>1066</v>
      </c>
      <c r="P543" s="751">
        <v>0</v>
      </c>
      <c r="Q543" s="751" t="s">
        <v>1067</v>
      </c>
      <c r="R543" s="741" t="s">
        <v>1105</v>
      </c>
      <c r="S543" s="743">
        <v>2.5000000000000001E-4</v>
      </c>
      <c r="T543" s="764" t="s">
        <v>1069</v>
      </c>
      <c r="U543" s="739">
        <v>47753709</v>
      </c>
      <c r="V543" s="739">
        <v>38068282</v>
      </c>
      <c r="W543" s="739">
        <v>0</v>
      </c>
      <c r="X543" s="739">
        <v>0</v>
      </c>
      <c r="Y543" s="739">
        <v>3426155</v>
      </c>
      <c r="Z543" s="739">
        <f>2392680+459740</f>
        <v>2852420</v>
      </c>
      <c r="AA543" s="739">
        <v>471666</v>
      </c>
      <c r="AB543" s="739">
        <v>0</v>
      </c>
      <c r="AC543" s="739">
        <v>0</v>
      </c>
      <c r="AD543" s="739">
        <f>93941+2518353</f>
        <v>2612294</v>
      </c>
      <c r="AE543" s="739">
        <v>0</v>
      </c>
      <c r="AF543" s="739">
        <v>322892</v>
      </c>
      <c r="AG543" s="739">
        <v>0</v>
      </c>
      <c r="AH543" s="739">
        <v>0</v>
      </c>
      <c r="AI543" s="737">
        <v>0</v>
      </c>
      <c r="AJ543" s="737">
        <v>1.89E-2</v>
      </c>
      <c r="AK543" s="739">
        <v>0</v>
      </c>
    </row>
    <row r="544" spans="1:37">
      <c r="A544" s="117" t="s">
        <v>1106</v>
      </c>
      <c r="B544" s="79" t="s">
        <v>1107</v>
      </c>
      <c r="C544" s="79" t="s">
        <v>1065</v>
      </c>
      <c r="D544" s="748"/>
      <c r="E544" s="748"/>
      <c r="F544" s="748"/>
      <c r="G544" s="748"/>
      <c r="H544" s="748"/>
      <c r="I544" s="748"/>
      <c r="J544" s="740"/>
      <c r="K544" s="740"/>
      <c r="L544" s="748"/>
      <c r="M544" s="750"/>
      <c r="N544" s="750"/>
      <c r="O544" s="752"/>
      <c r="P544" s="752"/>
      <c r="Q544" s="752"/>
      <c r="R544" s="742"/>
      <c r="S544" s="744"/>
      <c r="T544" s="746"/>
      <c r="U544" s="740"/>
      <c r="V544" s="740"/>
      <c r="W544" s="740"/>
      <c r="X544" s="740"/>
      <c r="Y544" s="740"/>
      <c r="Z544" s="740"/>
      <c r="AA544" s="740"/>
      <c r="AB544" s="740"/>
      <c r="AC544" s="740"/>
      <c r="AD544" s="740"/>
      <c r="AE544" s="740"/>
      <c r="AF544" s="740"/>
      <c r="AG544" s="740"/>
      <c r="AH544" s="740"/>
      <c r="AI544" s="738"/>
      <c r="AJ544" s="738"/>
      <c r="AK544" s="740"/>
    </row>
    <row r="545" spans="1:37">
      <c r="A545" s="118" t="s">
        <v>1108</v>
      </c>
      <c r="B545" s="80" t="s">
        <v>1109</v>
      </c>
      <c r="C545" s="80" t="s">
        <v>1065</v>
      </c>
      <c r="D545" s="98" t="s">
        <v>43</v>
      </c>
      <c r="E545" s="98" t="s">
        <v>44</v>
      </c>
      <c r="F545" s="98" t="s">
        <v>1348</v>
      </c>
      <c r="G545" s="98" t="s">
        <v>81</v>
      </c>
      <c r="H545" s="98" t="s">
        <v>45</v>
      </c>
      <c r="I545" s="80" t="s">
        <v>46</v>
      </c>
      <c r="J545" s="84">
        <v>45080748763.051796</v>
      </c>
      <c r="K545" s="84">
        <v>0</v>
      </c>
      <c r="L545" s="80"/>
      <c r="M545" s="85">
        <v>4.8936E-2</v>
      </c>
      <c r="N545" s="85">
        <v>5.7070000000000003E-2</v>
      </c>
      <c r="O545" s="87" t="s">
        <v>1074</v>
      </c>
      <c r="P545" s="87">
        <v>0</v>
      </c>
      <c r="Q545" s="87" t="s">
        <v>1067</v>
      </c>
      <c r="R545" s="81" t="s">
        <v>1082</v>
      </c>
      <c r="S545" s="82">
        <v>2.5000000000000001E-4</v>
      </c>
      <c r="T545" s="81" t="s">
        <v>1067</v>
      </c>
      <c r="U545" s="84">
        <v>493342715</v>
      </c>
      <c r="V545" s="84">
        <v>445127574</v>
      </c>
      <c r="W545" s="84">
        <v>0</v>
      </c>
      <c r="X545" s="84">
        <v>0</v>
      </c>
      <c r="Y545" s="84">
        <v>31705943</v>
      </c>
      <c r="Z545" s="84">
        <f>2621280+561340</f>
        <v>3182620</v>
      </c>
      <c r="AA545" s="84">
        <v>11253354</v>
      </c>
      <c r="AB545" s="84">
        <v>0</v>
      </c>
      <c r="AC545" s="84">
        <v>0</v>
      </c>
      <c r="AD545" s="84">
        <v>1411049</v>
      </c>
      <c r="AE545" s="84">
        <v>0</v>
      </c>
      <c r="AF545" s="84">
        <v>662175</v>
      </c>
      <c r="AG545" s="84">
        <v>0</v>
      </c>
      <c r="AH545" s="84">
        <v>0</v>
      </c>
      <c r="AI545" s="86">
        <v>0</v>
      </c>
      <c r="AJ545" s="86">
        <v>1.11E-2</v>
      </c>
      <c r="AK545" s="84">
        <v>0</v>
      </c>
    </row>
    <row r="546" spans="1:37">
      <c r="A546" s="116" t="s">
        <v>1110</v>
      </c>
      <c r="B546" s="78" t="s">
        <v>1111</v>
      </c>
      <c r="C546" s="78" t="s">
        <v>1065</v>
      </c>
      <c r="D546" s="755" t="s">
        <v>43</v>
      </c>
      <c r="E546" s="755" t="s">
        <v>44</v>
      </c>
      <c r="F546" s="755" t="s">
        <v>55</v>
      </c>
      <c r="G546" s="755" t="s">
        <v>88</v>
      </c>
      <c r="H546" s="755" t="s">
        <v>45</v>
      </c>
      <c r="I546" s="747" t="s">
        <v>46</v>
      </c>
      <c r="J546" s="739">
        <v>542447075.48207176</v>
      </c>
      <c r="K546" s="739">
        <v>0</v>
      </c>
      <c r="L546" s="747"/>
      <c r="M546" s="749">
        <v>5.7245999999999998E-2</v>
      </c>
      <c r="N546" s="749" t="s">
        <v>1067</v>
      </c>
      <c r="O546" s="751" t="s">
        <v>1112</v>
      </c>
      <c r="P546" s="751">
        <v>0</v>
      </c>
      <c r="Q546" s="751" t="s">
        <v>1067</v>
      </c>
      <c r="R546" s="741" t="s">
        <v>1113</v>
      </c>
      <c r="S546" s="743">
        <v>2.5000000000000001E-4</v>
      </c>
      <c r="T546" s="741" t="s">
        <v>1067</v>
      </c>
      <c r="U546" s="739">
        <v>5357241</v>
      </c>
      <c r="V546" s="739">
        <v>2711592</v>
      </c>
      <c r="W546" s="739">
        <v>0</v>
      </c>
      <c r="X546" s="739">
        <v>9000</v>
      </c>
      <c r="Y546" s="739">
        <v>436714</v>
      </c>
      <c r="Z546" s="739">
        <v>417830</v>
      </c>
      <c r="AA546" s="739">
        <v>135524</v>
      </c>
      <c r="AB546" s="739">
        <v>0</v>
      </c>
      <c r="AC546" s="739">
        <v>0</v>
      </c>
      <c r="AD546" s="739">
        <f>100369+1545612</f>
        <v>1645981</v>
      </c>
      <c r="AE546" s="760">
        <v>9000</v>
      </c>
      <c r="AF546" s="739">
        <v>600</v>
      </c>
      <c r="AG546" s="739">
        <v>0</v>
      </c>
      <c r="AH546" s="739">
        <v>0</v>
      </c>
      <c r="AI546" s="762">
        <v>6.6E-3</v>
      </c>
      <c r="AJ546" s="737">
        <v>1.35E-2</v>
      </c>
      <c r="AK546" s="739">
        <v>1292589</v>
      </c>
    </row>
    <row r="547" spans="1:37">
      <c r="A547" s="117" t="s">
        <v>1114</v>
      </c>
      <c r="B547" s="79" t="s">
        <v>1115</v>
      </c>
      <c r="C547" s="79" t="s">
        <v>1065</v>
      </c>
      <c r="D547" s="748"/>
      <c r="E547" s="748"/>
      <c r="F547" s="748"/>
      <c r="G547" s="748"/>
      <c r="H547" s="748"/>
      <c r="I547" s="748"/>
      <c r="J547" s="740"/>
      <c r="K547" s="740"/>
      <c r="L547" s="748"/>
      <c r="M547" s="750"/>
      <c r="N547" s="750"/>
      <c r="O547" s="752"/>
      <c r="P547" s="752"/>
      <c r="Q547" s="752"/>
      <c r="R547" s="742"/>
      <c r="S547" s="744"/>
      <c r="T547" s="742"/>
      <c r="U547" s="740"/>
      <c r="V547" s="740"/>
      <c r="W547" s="740"/>
      <c r="X547" s="740"/>
      <c r="Y547" s="740"/>
      <c r="Z547" s="740"/>
      <c r="AA547" s="740"/>
      <c r="AB547" s="740"/>
      <c r="AC547" s="740"/>
      <c r="AD547" s="740"/>
      <c r="AE547" s="761"/>
      <c r="AF547" s="740"/>
      <c r="AG547" s="740"/>
      <c r="AH547" s="740"/>
      <c r="AI547" s="763"/>
      <c r="AJ547" s="738"/>
      <c r="AK547" s="740"/>
    </row>
    <row r="548" spans="1:37">
      <c r="A548" s="118" t="s">
        <v>1116</v>
      </c>
      <c r="B548" s="80" t="s">
        <v>1117</v>
      </c>
      <c r="C548" s="80" t="s">
        <v>1065</v>
      </c>
      <c r="D548" s="98" t="s">
        <v>43</v>
      </c>
      <c r="E548" s="98" t="s">
        <v>44</v>
      </c>
      <c r="F548" s="98" t="s">
        <v>55</v>
      </c>
      <c r="G548" s="98" t="s">
        <v>88</v>
      </c>
      <c r="H548" s="98" t="s">
        <v>62</v>
      </c>
      <c r="I548" s="80" t="s">
        <v>69</v>
      </c>
      <c r="J548" s="201">
        <v>2564228.0444223131</v>
      </c>
      <c r="K548" s="201">
        <v>0</v>
      </c>
      <c r="L548" s="80"/>
      <c r="M548" s="85">
        <v>1.4886999999999999E-2</v>
      </c>
      <c r="N548" s="85" t="s">
        <v>554</v>
      </c>
      <c r="O548" s="87" t="s">
        <v>1112</v>
      </c>
      <c r="P548" s="87">
        <v>0</v>
      </c>
      <c r="Q548" s="87" t="s">
        <v>1067</v>
      </c>
      <c r="R548" s="81" t="s">
        <v>1113</v>
      </c>
      <c r="S548" s="82">
        <v>2.5000000000000001E-4</v>
      </c>
      <c r="T548" s="81" t="s">
        <v>1067</v>
      </c>
      <c r="U548" s="201">
        <v>29843.8</v>
      </c>
      <c r="V548" s="201">
        <v>12866.67</v>
      </c>
      <c r="W548" s="201">
        <v>0</v>
      </c>
      <c r="X548" s="201">
        <v>53.83</v>
      </c>
      <c r="Y548" s="201">
        <v>2062.1</v>
      </c>
      <c r="Z548" s="201">
        <v>1399.86</v>
      </c>
      <c r="AA548" s="201">
        <v>639.9</v>
      </c>
      <c r="AB548" s="201">
        <v>0</v>
      </c>
      <c r="AC548" s="201">
        <v>0</v>
      </c>
      <c r="AD548" s="201">
        <f>247.41+12572.37</f>
        <v>12819.78</v>
      </c>
      <c r="AE548" s="415">
        <v>53.83</v>
      </c>
      <c r="AF548" s="201">
        <v>1.66</v>
      </c>
      <c r="AG548" s="201">
        <v>0</v>
      </c>
      <c r="AH548" s="201">
        <v>0</v>
      </c>
      <c r="AI548" s="174">
        <v>3.2000000000000002E-3</v>
      </c>
      <c r="AJ548" s="81">
        <v>1.44E-2</v>
      </c>
      <c r="AK548" s="201">
        <v>2264.54</v>
      </c>
    </row>
    <row r="549" spans="1:37">
      <c r="A549" s="118" t="s">
        <v>1118</v>
      </c>
      <c r="B549" s="80" t="s">
        <v>1119</v>
      </c>
      <c r="C549" s="80" t="s">
        <v>1065</v>
      </c>
      <c r="D549" s="98" t="s">
        <v>43</v>
      </c>
      <c r="E549" s="98" t="s">
        <v>44</v>
      </c>
      <c r="F549" s="98" t="s">
        <v>55</v>
      </c>
      <c r="G549" s="98" t="s">
        <v>88</v>
      </c>
      <c r="H549" s="98" t="s">
        <v>45</v>
      </c>
      <c r="I549" s="80" t="s">
        <v>46</v>
      </c>
      <c r="J549" s="84">
        <v>111745321.2430279</v>
      </c>
      <c r="K549" s="84">
        <v>0</v>
      </c>
      <c r="L549" s="80"/>
      <c r="M549" s="85">
        <v>6.5614000000000006E-2</v>
      </c>
      <c r="N549" s="85" t="s">
        <v>554</v>
      </c>
      <c r="O549" s="87" t="s">
        <v>1120</v>
      </c>
      <c r="P549" s="87">
        <v>0</v>
      </c>
      <c r="Q549" s="87" t="s">
        <v>1067</v>
      </c>
      <c r="R549" s="81" t="s">
        <v>1113</v>
      </c>
      <c r="S549" s="82">
        <v>2.5000000000000001E-4</v>
      </c>
      <c r="T549" s="81" t="s">
        <v>1067</v>
      </c>
      <c r="U549" s="84">
        <v>935459</v>
      </c>
      <c r="V549" s="84">
        <v>273235</v>
      </c>
      <c r="W549" s="84">
        <v>0</v>
      </c>
      <c r="X549" s="84">
        <v>7000</v>
      </c>
      <c r="Y549" s="84">
        <v>91367</v>
      </c>
      <c r="Z549" s="84">
        <v>417830</v>
      </c>
      <c r="AA549" s="84">
        <v>28066</v>
      </c>
      <c r="AB549" s="84">
        <v>0</v>
      </c>
      <c r="AC549" s="84">
        <v>0</v>
      </c>
      <c r="AD549" s="84">
        <f>61594+55767</f>
        <v>117361</v>
      </c>
      <c r="AE549" s="416">
        <v>7000</v>
      </c>
      <c r="AF549" s="84">
        <v>600</v>
      </c>
      <c r="AG549" s="84">
        <v>0</v>
      </c>
      <c r="AH549" s="84">
        <v>0</v>
      </c>
      <c r="AI549" s="175">
        <v>6.4000000000000003E-3</v>
      </c>
      <c r="AJ549" s="86">
        <v>1.0200000000000001E-2</v>
      </c>
      <c r="AK549" s="84">
        <v>0</v>
      </c>
    </row>
    <row r="550" spans="1:37">
      <c r="A550" s="116" t="s">
        <v>1121</v>
      </c>
      <c r="B550" s="78" t="s">
        <v>1122</v>
      </c>
      <c r="C550" s="78" t="s">
        <v>1065</v>
      </c>
      <c r="D550" s="755" t="s">
        <v>43</v>
      </c>
      <c r="E550" s="755" t="s">
        <v>44</v>
      </c>
      <c r="F550" s="755" t="s">
        <v>55</v>
      </c>
      <c r="G550" s="755" t="s">
        <v>97</v>
      </c>
      <c r="H550" s="755" t="s">
        <v>45</v>
      </c>
      <c r="I550" s="747" t="s">
        <v>46</v>
      </c>
      <c r="J550" s="739">
        <v>12198361294.414343</v>
      </c>
      <c r="K550" s="739">
        <v>0</v>
      </c>
      <c r="L550" s="747"/>
      <c r="M550" s="749">
        <v>8.4098999999999993E-2</v>
      </c>
      <c r="N550" s="749" t="s">
        <v>1067</v>
      </c>
      <c r="O550" s="751" t="s">
        <v>1085</v>
      </c>
      <c r="P550" s="751">
        <v>0</v>
      </c>
      <c r="Q550" s="751" t="s">
        <v>1067</v>
      </c>
      <c r="R550" s="741" t="s">
        <v>1113</v>
      </c>
      <c r="S550" s="743">
        <v>2.5000000000000001E-4</v>
      </c>
      <c r="T550" s="741" t="s">
        <v>1067</v>
      </c>
      <c r="U550" s="739">
        <v>206692591</v>
      </c>
      <c r="V550" s="739">
        <v>190519713</v>
      </c>
      <c r="W550" s="739">
        <v>0</v>
      </c>
      <c r="X550" s="739">
        <v>315000</v>
      </c>
      <c r="Y550" s="739">
        <v>9730162</v>
      </c>
      <c r="Z550" s="739">
        <f>1794510+417830</f>
        <v>2212340</v>
      </c>
      <c r="AA550" s="739">
        <v>3036993</v>
      </c>
      <c r="AB550" s="739">
        <v>0</v>
      </c>
      <c r="AC550" s="739">
        <v>0</v>
      </c>
      <c r="AD550" s="739">
        <v>850618</v>
      </c>
      <c r="AE550" s="760">
        <v>315000</v>
      </c>
      <c r="AF550" s="739">
        <v>27765</v>
      </c>
      <c r="AG550" s="739">
        <v>0</v>
      </c>
      <c r="AH550" s="739">
        <v>0</v>
      </c>
      <c r="AI550" s="762">
        <v>1.1299999999999999E-2</v>
      </c>
      <c r="AJ550" s="737">
        <v>2.01E-2</v>
      </c>
      <c r="AK550" s="739">
        <v>93994221</v>
      </c>
    </row>
    <row r="551" spans="1:37">
      <c r="A551" s="117" t="s">
        <v>1123</v>
      </c>
      <c r="B551" s="79" t="s">
        <v>1124</v>
      </c>
      <c r="C551" s="79" t="s">
        <v>1065</v>
      </c>
      <c r="D551" s="748"/>
      <c r="E551" s="748"/>
      <c r="F551" s="748"/>
      <c r="G551" s="748"/>
      <c r="H551" s="748"/>
      <c r="I551" s="748"/>
      <c r="J551" s="740"/>
      <c r="K551" s="740"/>
      <c r="L551" s="748"/>
      <c r="M551" s="750"/>
      <c r="N551" s="750"/>
      <c r="O551" s="752"/>
      <c r="P551" s="752"/>
      <c r="Q551" s="752"/>
      <c r="R551" s="742"/>
      <c r="S551" s="744"/>
      <c r="T551" s="742"/>
      <c r="U551" s="740"/>
      <c r="V551" s="740"/>
      <c r="W551" s="740"/>
      <c r="X551" s="740"/>
      <c r="Y551" s="740"/>
      <c r="Z551" s="740"/>
      <c r="AA551" s="740"/>
      <c r="AB551" s="740"/>
      <c r="AC551" s="740"/>
      <c r="AD551" s="740"/>
      <c r="AE551" s="761"/>
      <c r="AF551" s="740"/>
      <c r="AG551" s="740"/>
      <c r="AH551" s="740"/>
      <c r="AI551" s="763"/>
      <c r="AJ551" s="738"/>
      <c r="AK551" s="740"/>
    </row>
    <row r="552" spans="1:37">
      <c r="A552" s="116" t="s">
        <v>1125</v>
      </c>
      <c r="B552" s="78" t="s">
        <v>1126</v>
      </c>
      <c r="C552" s="78" t="s">
        <v>1065</v>
      </c>
      <c r="D552" s="755" t="s">
        <v>43</v>
      </c>
      <c r="E552" s="755" t="s">
        <v>44</v>
      </c>
      <c r="F552" s="755" t="s">
        <v>55</v>
      </c>
      <c r="G552" s="755" t="s">
        <v>97</v>
      </c>
      <c r="H552" s="755" t="s">
        <v>62</v>
      </c>
      <c r="I552" s="747" t="s">
        <v>69</v>
      </c>
      <c r="J552" s="753">
        <v>484630.03900398425</v>
      </c>
      <c r="K552" s="753">
        <v>0</v>
      </c>
      <c r="L552" s="747"/>
      <c r="M552" s="749">
        <v>6.8040000000000002E-3</v>
      </c>
      <c r="N552" s="749" t="s">
        <v>1067</v>
      </c>
      <c r="O552" s="751" t="s">
        <v>1112</v>
      </c>
      <c r="P552" s="751">
        <v>0</v>
      </c>
      <c r="Q552" s="751" t="s">
        <v>1067</v>
      </c>
      <c r="R552" s="741" t="s">
        <v>1113</v>
      </c>
      <c r="S552" s="743">
        <v>2.5000000000000001E-4</v>
      </c>
      <c r="T552" s="741" t="s">
        <v>1067</v>
      </c>
      <c r="U552" s="753">
        <v>4272.33</v>
      </c>
      <c r="V552" s="753">
        <v>2114.04</v>
      </c>
      <c r="W552" s="753">
        <v>0</v>
      </c>
      <c r="X552" s="753">
        <v>67.06</v>
      </c>
      <c r="Y552" s="753">
        <v>387.42</v>
      </c>
      <c r="Z552" s="753">
        <v>1399.86</v>
      </c>
      <c r="AA552" s="753">
        <v>120.11</v>
      </c>
      <c r="AB552" s="753">
        <v>0</v>
      </c>
      <c r="AC552" s="753">
        <v>0</v>
      </c>
      <c r="AD552" s="753">
        <f>61.53+119.94</f>
        <v>181.47</v>
      </c>
      <c r="AE552" s="756">
        <v>67.06</v>
      </c>
      <c r="AF552" s="753">
        <v>2.37</v>
      </c>
      <c r="AG552" s="753">
        <v>0</v>
      </c>
      <c r="AH552" s="753">
        <v>0</v>
      </c>
      <c r="AI552" s="758">
        <v>6.0000000000000001E-3</v>
      </c>
      <c r="AJ552" s="741">
        <v>1.6299999999999999E-2</v>
      </c>
      <c r="AK552" s="753">
        <v>969.24</v>
      </c>
    </row>
    <row r="553" spans="1:37">
      <c r="A553" s="117" t="s">
        <v>1127</v>
      </c>
      <c r="B553" s="79" t="s">
        <v>1128</v>
      </c>
      <c r="C553" s="79" t="s">
        <v>1065</v>
      </c>
      <c r="D553" s="748"/>
      <c r="E553" s="748"/>
      <c r="F553" s="748"/>
      <c r="G553" s="748" t="s">
        <v>61</v>
      </c>
      <c r="H553" s="748"/>
      <c r="I553" s="748"/>
      <c r="J553" s="754"/>
      <c r="K553" s="754"/>
      <c r="L553" s="748"/>
      <c r="M553" s="750"/>
      <c r="N553" s="750"/>
      <c r="O553" s="752"/>
      <c r="P553" s="752"/>
      <c r="Q553" s="752"/>
      <c r="R553" s="742"/>
      <c r="S553" s="744"/>
      <c r="T553" s="742"/>
      <c r="U553" s="754"/>
      <c r="V553" s="754"/>
      <c r="W553" s="754"/>
      <c r="X553" s="754"/>
      <c r="Y553" s="754"/>
      <c r="Z553" s="754"/>
      <c r="AA553" s="754"/>
      <c r="AB553" s="754"/>
      <c r="AC553" s="754"/>
      <c r="AD553" s="754"/>
      <c r="AE553" s="757"/>
      <c r="AF553" s="754"/>
      <c r="AG553" s="754"/>
      <c r="AH553" s="754"/>
      <c r="AI553" s="759"/>
      <c r="AJ553" s="742"/>
      <c r="AK553" s="754"/>
    </row>
    <row r="554" spans="1:37">
      <c r="A554" s="116" t="s">
        <v>1129</v>
      </c>
      <c r="B554" s="78" t="s">
        <v>1130</v>
      </c>
      <c r="C554" s="78" t="s">
        <v>1065</v>
      </c>
      <c r="D554" s="755" t="s">
        <v>43</v>
      </c>
      <c r="E554" s="755" t="s">
        <v>44</v>
      </c>
      <c r="F554" s="755" t="s">
        <v>1348</v>
      </c>
      <c r="G554" s="755" t="s">
        <v>58</v>
      </c>
      <c r="H554" s="755" t="s">
        <v>45</v>
      </c>
      <c r="I554" s="747" t="s">
        <v>46</v>
      </c>
      <c r="J554" s="739">
        <v>1892477002.2788844</v>
      </c>
      <c r="K554" s="739">
        <v>0</v>
      </c>
      <c r="L554" s="747"/>
      <c r="M554" s="749">
        <v>-3.1461999999999997E-2</v>
      </c>
      <c r="N554" s="749">
        <v>-3.7865000000000003E-2</v>
      </c>
      <c r="O554" s="751" t="s">
        <v>1066</v>
      </c>
      <c r="P554" s="751">
        <v>0</v>
      </c>
      <c r="Q554" s="751" t="s">
        <v>1067</v>
      </c>
      <c r="R554" s="741" t="s">
        <v>1131</v>
      </c>
      <c r="S554" s="743">
        <v>2.5000000000000001E-4</v>
      </c>
      <c r="T554" s="745" t="s">
        <v>1069</v>
      </c>
      <c r="U554" s="739">
        <v>45177548</v>
      </c>
      <c r="V554" s="739">
        <v>37240285</v>
      </c>
      <c r="W554" s="739">
        <v>0</v>
      </c>
      <c r="X554" s="739">
        <v>0</v>
      </c>
      <c r="Y554" s="739">
        <v>3437557</v>
      </c>
      <c r="Z554" s="739">
        <f>2392680+459740</f>
        <v>2852420</v>
      </c>
      <c r="AA554" s="739">
        <v>473211</v>
      </c>
      <c r="AB554" s="739">
        <v>0</v>
      </c>
      <c r="AC554" s="739">
        <v>0</v>
      </c>
      <c r="AD554" s="739">
        <f>157425+1011050</f>
        <v>1168475</v>
      </c>
      <c r="AE554" s="739">
        <v>0</v>
      </c>
      <c r="AF554" s="739">
        <v>5600</v>
      </c>
      <c r="AG554" s="739">
        <v>0</v>
      </c>
      <c r="AH554" s="739">
        <v>0</v>
      </c>
      <c r="AI554" s="737">
        <v>0</v>
      </c>
      <c r="AJ554" s="737">
        <v>2.3300000000000001E-2</v>
      </c>
      <c r="AK554" s="739">
        <v>0</v>
      </c>
    </row>
    <row r="555" spans="1:37">
      <c r="A555" s="117" t="s">
        <v>1132</v>
      </c>
      <c r="B555" s="79" t="s">
        <v>1133</v>
      </c>
      <c r="C555" s="79" t="s">
        <v>1065</v>
      </c>
      <c r="D555" s="748"/>
      <c r="E555" s="748"/>
      <c r="F555" s="748"/>
      <c r="G555" s="748"/>
      <c r="H555" s="748"/>
      <c r="I555" s="748"/>
      <c r="J555" s="740"/>
      <c r="K555" s="740"/>
      <c r="L555" s="748"/>
      <c r="M555" s="750"/>
      <c r="N555" s="750"/>
      <c r="O555" s="752"/>
      <c r="P555" s="752"/>
      <c r="Q555" s="752"/>
      <c r="R555" s="742"/>
      <c r="S555" s="744"/>
      <c r="T555" s="746"/>
      <c r="U555" s="740"/>
      <c r="V555" s="740"/>
      <c r="W555" s="740"/>
      <c r="X555" s="740"/>
      <c r="Y555" s="740"/>
      <c r="Z555" s="740"/>
      <c r="AA555" s="740"/>
      <c r="AB555" s="740"/>
      <c r="AC555" s="740"/>
      <c r="AD555" s="740"/>
      <c r="AE555" s="740"/>
      <c r="AF555" s="740"/>
      <c r="AG555" s="740"/>
      <c r="AH555" s="740"/>
      <c r="AI555" s="738"/>
      <c r="AJ555" s="738"/>
      <c r="AK555" s="740"/>
    </row>
    <row r="556" spans="1:37">
      <c r="A556" s="118" t="s">
        <v>1134</v>
      </c>
      <c r="B556" s="80" t="s">
        <v>1135</v>
      </c>
      <c r="C556" s="80" t="s">
        <v>1065</v>
      </c>
      <c r="D556" s="98" t="s">
        <v>43</v>
      </c>
      <c r="E556" s="98" t="s">
        <v>44</v>
      </c>
      <c r="F556" s="98" t="s">
        <v>1348</v>
      </c>
      <c r="G556" s="98" t="s">
        <v>641</v>
      </c>
      <c r="H556" s="98" t="s">
        <v>62</v>
      </c>
      <c r="I556" s="80" t="s">
        <v>69</v>
      </c>
      <c r="J556" s="201">
        <v>24602696.212071735</v>
      </c>
      <c r="K556" s="201">
        <v>0</v>
      </c>
      <c r="L556" s="80"/>
      <c r="M556" s="85">
        <v>6.9249999999999997E-3</v>
      </c>
      <c r="N556" s="85">
        <v>9.9200000000000004E-4</v>
      </c>
      <c r="O556" s="87" t="s">
        <v>1136</v>
      </c>
      <c r="P556" s="87">
        <v>0</v>
      </c>
      <c r="Q556" s="87" t="s">
        <v>1067</v>
      </c>
      <c r="R556" s="81" t="s">
        <v>1082</v>
      </c>
      <c r="S556" s="82">
        <v>2.5000000000000001E-4</v>
      </c>
      <c r="T556" s="81" t="s">
        <v>1067</v>
      </c>
      <c r="U556" s="201">
        <v>192448.08</v>
      </c>
      <c r="V556" s="201">
        <v>160642.20000000001</v>
      </c>
      <c r="W556" s="201">
        <v>0</v>
      </c>
      <c r="X556" s="201">
        <v>0</v>
      </c>
      <c r="Y556" s="201">
        <v>14877.27</v>
      </c>
      <c r="Z556" s="201">
        <f>8046.66+1399.86</f>
        <v>9446.52</v>
      </c>
      <c r="AA556" s="201">
        <v>6145.42</v>
      </c>
      <c r="AB556" s="201">
        <v>0</v>
      </c>
      <c r="AC556" s="201">
        <v>0</v>
      </c>
      <c r="AD556" s="201">
        <v>334.34</v>
      </c>
      <c r="AE556" s="201">
        <v>0</v>
      </c>
      <c r="AF556" s="201">
        <v>1002.33</v>
      </c>
      <c r="AG556" s="201">
        <v>0</v>
      </c>
      <c r="AH556" s="201">
        <v>0</v>
      </c>
      <c r="AI556" s="81">
        <v>0</v>
      </c>
      <c r="AJ556" s="81">
        <v>7.3000000000000001E-3</v>
      </c>
      <c r="AK556" s="201">
        <v>0</v>
      </c>
    </row>
    <row r="557" spans="1:37" ht="76.5">
      <c r="A557" s="118" t="s">
        <v>1137</v>
      </c>
      <c r="B557" s="80" t="s">
        <v>1138</v>
      </c>
      <c r="C557" s="80" t="s">
        <v>1065</v>
      </c>
      <c r="D557" s="98" t="s">
        <v>43</v>
      </c>
      <c r="E557" s="11" t="s">
        <v>621</v>
      </c>
      <c r="F557" s="98" t="s">
        <v>884</v>
      </c>
      <c r="G557" s="98" t="s">
        <v>622</v>
      </c>
      <c r="H557" s="98" t="s">
        <v>62</v>
      </c>
      <c r="I557" s="80" t="s">
        <v>46</v>
      </c>
      <c r="J557" s="84">
        <v>876041489.27091634</v>
      </c>
      <c r="K557" s="84">
        <v>0</v>
      </c>
      <c r="L557" s="80"/>
      <c r="M557" s="85">
        <v>6.8006999999999998E-2</v>
      </c>
      <c r="N557" s="85" t="s">
        <v>554</v>
      </c>
      <c r="O557" s="87" t="s">
        <v>1139</v>
      </c>
      <c r="P557" s="87">
        <v>0</v>
      </c>
      <c r="Q557" s="87" t="s">
        <v>1067</v>
      </c>
      <c r="R557" s="81">
        <v>0</v>
      </c>
      <c r="S557" s="87" t="s">
        <v>1140</v>
      </c>
      <c r="T557" s="81" t="s">
        <v>554</v>
      </c>
      <c r="U557" s="84">
        <v>15014722</v>
      </c>
      <c r="V557" s="84">
        <v>15014722</v>
      </c>
      <c r="W557" s="84">
        <v>0</v>
      </c>
      <c r="X557" s="84">
        <v>0</v>
      </c>
      <c r="Y557" s="84" t="s">
        <v>82</v>
      </c>
      <c r="Z557" s="84" t="s">
        <v>82</v>
      </c>
      <c r="AA557" s="84" t="s">
        <v>82</v>
      </c>
      <c r="AB557" s="84">
        <v>0</v>
      </c>
      <c r="AC557" s="84">
        <v>0</v>
      </c>
      <c r="AD557" s="84" t="s">
        <v>82</v>
      </c>
      <c r="AE557" s="84">
        <v>0</v>
      </c>
      <c r="AF557" s="84" t="s">
        <v>82</v>
      </c>
      <c r="AG557" s="84">
        <v>0</v>
      </c>
      <c r="AH557" s="84">
        <v>0</v>
      </c>
      <c r="AI557" s="86">
        <v>0</v>
      </c>
      <c r="AJ557" s="86">
        <v>0.03</v>
      </c>
      <c r="AK557" s="84">
        <v>0</v>
      </c>
    </row>
    <row r="558" spans="1:37" ht="76.5">
      <c r="A558" s="118" t="s">
        <v>1141</v>
      </c>
      <c r="B558" s="80" t="s">
        <v>1142</v>
      </c>
      <c r="C558" s="80" t="s">
        <v>1065</v>
      </c>
      <c r="D558" s="98" t="s">
        <v>43</v>
      </c>
      <c r="E558" s="11" t="s">
        <v>621</v>
      </c>
      <c r="F558" s="98" t="s">
        <v>884</v>
      </c>
      <c r="G558" s="98" t="s">
        <v>622</v>
      </c>
      <c r="H558" s="98" t="s">
        <v>62</v>
      </c>
      <c r="I558" s="80" t="s">
        <v>46</v>
      </c>
      <c r="J558" s="84">
        <v>1792147845.6533864</v>
      </c>
      <c r="K558" s="84">
        <v>25451631</v>
      </c>
      <c r="L558" s="417">
        <v>41473</v>
      </c>
      <c r="M558" s="85">
        <v>4.6448999999999997E-2</v>
      </c>
      <c r="N558" s="85" t="s">
        <v>554</v>
      </c>
      <c r="O558" s="87" t="s">
        <v>1143</v>
      </c>
      <c r="P558" s="87">
        <v>0</v>
      </c>
      <c r="Q558" s="87" t="s">
        <v>1067</v>
      </c>
      <c r="R558" s="81">
        <v>0</v>
      </c>
      <c r="S558" s="87" t="s">
        <v>1140</v>
      </c>
      <c r="T558" s="81" t="s">
        <v>554</v>
      </c>
      <c r="U558" s="84">
        <v>33272474</v>
      </c>
      <c r="V558" s="84">
        <v>33272474</v>
      </c>
      <c r="W558" s="84">
        <v>0</v>
      </c>
      <c r="X558" s="84">
        <v>0</v>
      </c>
      <c r="Y558" s="84" t="s">
        <v>82</v>
      </c>
      <c r="Z558" s="84" t="s">
        <v>82</v>
      </c>
      <c r="AA558" s="84" t="s">
        <v>82</v>
      </c>
      <c r="AB558" s="84">
        <v>0</v>
      </c>
      <c r="AC558" s="84">
        <v>0</v>
      </c>
      <c r="AD558" s="84" t="s">
        <v>82</v>
      </c>
      <c r="AE558" s="84">
        <v>0</v>
      </c>
      <c r="AF558" s="84" t="s">
        <v>82</v>
      </c>
      <c r="AG558" s="84">
        <v>0</v>
      </c>
      <c r="AH558" s="84">
        <v>0</v>
      </c>
      <c r="AI558" s="86">
        <v>0</v>
      </c>
      <c r="AJ558" s="86">
        <v>2.75E-2</v>
      </c>
      <c r="AK558" s="84">
        <v>0</v>
      </c>
    </row>
    <row r="559" spans="1:37" ht="76.5">
      <c r="A559" s="118" t="s">
        <v>1144</v>
      </c>
      <c r="B559" s="80" t="s">
        <v>1145</v>
      </c>
      <c r="C559" s="80" t="s">
        <v>1065</v>
      </c>
      <c r="D559" s="98" t="s">
        <v>43</v>
      </c>
      <c r="E559" s="11" t="s">
        <v>621</v>
      </c>
      <c r="F559" s="98" t="s">
        <v>1348</v>
      </c>
      <c r="G559" s="98" t="s">
        <v>48</v>
      </c>
      <c r="H559" s="98" t="s">
        <v>45</v>
      </c>
      <c r="I559" s="80" t="s">
        <v>46</v>
      </c>
      <c r="J559" s="84">
        <v>1040877096.6494024</v>
      </c>
      <c r="K559" s="84">
        <v>0</v>
      </c>
      <c r="L559" s="80"/>
      <c r="M559" s="85">
        <v>9.7115999999999994E-2</v>
      </c>
      <c r="N559" s="85" t="s">
        <v>554</v>
      </c>
      <c r="O559" s="87" t="s">
        <v>1136</v>
      </c>
      <c r="P559" s="87">
        <v>0</v>
      </c>
      <c r="Q559" s="87" t="s">
        <v>1067</v>
      </c>
      <c r="R559" s="81">
        <v>0</v>
      </c>
      <c r="S559" s="87" t="s">
        <v>1146</v>
      </c>
      <c r="T559" s="81" t="s">
        <v>554</v>
      </c>
      <c r="U559" s="84">
        <v>4196894</v>
      </c>
      <c r="V559" s="84">
        <v>4196894</v>
      </c>
      <c r="W559" s="84">
        <v>0</v>
      </c>
      <c r="X559" s="84">
        <v>0</v>
      </c>
      <c r="Y559" s="84" t="s">
        <v>82</v>
      </c>
      <c r="Z559" s="84" t="s">
        <v>82</v>
      </c>
      <c r="AA559" s="84" t="s">
        <v>82</v>
      </c>
      <c r="AB559" s="84">
        <v>0</v>
      </c>
      <c r="AC559" s="84">
        <v>0</v>
      </c>
      <c r="AD559" s="84" t="s">
        <v>82</v>
      </c>
      <c r="AE559" s="84">
        <v>0</v>
      </c>
      <c r="AF559" s="84" t="s">
        <v>82</v>
      </c>
      <c r="AG559" s="84">
        <v>0</v>
      </c>
      <c r="AH559" s="84">
        <v>0</v>
      </c>
      <c r="AI559" s="86">
        <v>0</v>
      </c>
      <c r="AJ559" s="86">
        <v>4.0000000000000001E-3</v>
      </c>
      <c r="AK559" s="84">
        <v>0</v>
      </c>
    </row>
    <row r="560" spans="1:37" ht="76.5">
      <c r="A560" s="118" t="s">
        <v>1147</v>
      </c>
      <c r="B560" s="80" t="s">
        <v>1148</v>
      </c>
      <c r="C560" s="80" t="s">
        <v>1065</v>
      </c>
      <c r="D560" s="98" t="s">
        <v>43</v>
      </c>
      <c r="E560" s="11" t="s">
        <v>621</v>
      </c>
      <c r="F560" s="98" t="s">
        <v>55</v>
      </c>
      <c r="G560" s="98" t="s">
        <v>622</v>
      </c>
      <c r="H560" s="98" t="s">
        <v>62</v>
      </c>
      <c r="I560" s="80" t="s">
        <v>46</v>
      </c>
      <c r="J560" s="84">
        <v>1233619844.629482</v>
      </c>
      <c r="K560" s="84">
        <v>0</v>
      </c>
      <c r="L560" s="417"/>
      <c r="M560" s="85">
        <v>4.5537000000000001E-2</v>
      </c>
      <c r="N560" s="85" t="s">
        <v>554</v>
      </c>
      <c r="O560" s="87" t="s">
        <v>1149</v>
      </c>
      <c r="P560" s="87">
        <v>0</v>
      </c>
      <c r="Q560" s="87" t="s">
        <v>1067</v>
      </c>
      <c r="R560" s="81">
        <v>0</v>
      </c>
      <c r="S560" s="87" t="s">
        <v>1140</v>
      </c>
      <c r="T560" s="81" t="s">
        <v>554</v>
      </c>
      <c r="U560" s="84">
        <v>22399699</v>
      </c>
      <c r="V560" s="84">
        <v>22399699</v>
      </c>
      <c r="W560" s="84">
        <v>0</v>
      </c>
      <c r="X560" s="84">
        <v>0</v>
      </c>
      <c r="Y560" s="84" t="s">
        <v>82</v>
      </c>
      <c r="Z560" s="84" t="s">
        <v>82</v>
      </c>
      <c r="AA560" s="84" t="s">
        <v>82</v>
      </c>
      <c r="AB560" s="84">
        <v>0</v>
      </c>
      <c r="AC560" s="84">
        <v>0</v>
      </c>
      <c r="AD560" s="84" t="s">
        <v>82</v>
      </c>
      <c r="AE560" s="416">
        <v>0</v>
      </c>
      <c r="AF560" s="84" t="s">
        <v>82</v>
      </c>
      <c r="AG560" s="84">
        <v>0</v>
      </c>
      <c r="AH560" s="84">
        <v>0</v>
      </c>
      <c r="AI560" s="175">
        <v>3.2000000000000002E-3</v>
      </c>
      <c r="AJ560" s="86">
        <v>2.0500000000000001E-2</v>
      </c>
      <c r="AK560" s="84">
        <v>3360888</v>
      </c>
    </row>
    <row r="561" spans="1:37" ht="89.25">
      <c r="A561" s="107" t="s">
        <v>1150</v>
      </c>
      <c r="B561" s="53" t="s">
        <v>1151</v>
      </c>
      <c r="C561" s="53" t="s">
        <v>1152</v>
      </c>
      <c r="D561" s="99" t="s">
        <v>43</v>
      </c>
      <c r="E561" s="99" t="s">
        <v>44</v>
      </c>
      <c r="F561" s="99" t="s">
        <v>132</v>
      </c>
      <c r="G561" s="99" t="s">
        <v>56</v>
      </c>
      <c r="H561" s="99" t="s">
        <v>45</v>
      </c>
      <c r="I561" s="53" t="s">
        <v>46</v>
      </c>
      <c r="J561" s="88">
        <v>121442848</v>
      </c>
      <c r="K561" s="54">
        <v>0</v>
      </c>
      <c r="L561" s="53" t="s">
        <v>122</v>
      </c>
      <c r="M561" s="53">
        <v>-1.86</v>
      </c>
      <c r="N561" s="53" t="s">
        <v>122</v>
      </c>
      <c r="O561" s="56" t="s">
        <v>1153</v>
      </c>
      <c r="P561" s="56" t="s">
        <v>122</v>
      </c>
      <c r="Q561" s="56" t="s">
        <v>122</v>
      </c>
      <c r="R561" s="56" t="s">
        <v>1154</v>
      </c>
      <c r="S561" s="56" t="s">
        <v>1155</v>
      </c>
      <c r="T561" s="56" t="s">
        <v>122</v>
      </c>
      <c r="U561" s="89">
        <f>SUM(V561:AI561)</f>
        <v>4117452</v>
      </c>
      <c r="V561" s="54">
        <v>0</v>
      </c>
      <c r="W561" s="54" t="s">
        <v>122</v>
      </c>
      <c r="X561" s="54">
        <v>0</v>
      </c>
      <c r="Y561" s="54">
        <v>242846</v>
      </c>
      <c r="Z561" s="54">
        <v>240000</v>
      </c>
      <c r="AA561" s="54">
        <v>31000</v>
      </c>
      <c r="AB561" s="90">
        <v>0</v>
      </c>
      <c r="AC561" s="54">
        <f>131285+249000+72901</f>
        <v>453186</v>
      </c>
      <c r="AD561" s="90">
        <f>193663-70864-2830</f>
        <v>119969</v>
      </c>
      <c r="AE561" s="90" t="s">
        <v>122</v>
      </c>
      <c r="AF561" s="90">
        <f>70864+2830</f>
        <v>73694</v>
      </c>
      <c r="AG561" s="90">
        <v>0</v>
      </c>
      <c r="AH561" s="90">
        <f>4117452-SUM(V561:AG561)</f>
        <v>2956757</v>
      </c>
      <c r="AI561" s="91" t="s">
        <v>122</v>
      </c>
      <c r="AJ561" s="92">
        <v>3.15E-2</v>
      </c>
      <c r="AK561" s="54" t="s">
        <v>122</v>
      </c>
    </row>
    <row r="562" spans="1:37" ht="76.5">
      <c r="A562" s="107" t="s">
        <v>1156</v>
      </c>
      <c r="B562" s="53" t="s">
        <v>1157</v>
      </c>
      <c r="C562" s="53" t="s">
        <v>1152</v>
      </c>
      <c r="D562" s="99" t="s">
        <v>43</v>
      </c>
      <c r="E562" s="99" t="s">
        <v>44</v>
      </c>
      <c r="F562" s="99" t="s">
        <v>1348</v>
      </c>
      <c r="G562" s="206" t="s">
        <v>884</v>
      </c>
      <c r="H562" s="99" t="s">
        <v>62</v>
      </c>
      <c r="I562" s="53" t="s">
        <v>46</v>
      </c>
      <c r="J562" s="88">
        <v>355542586</v>
      </c>
      <c r="K562" s="54">
        <v>0</v>
      </c>
      <c r="L562" s="53" t="s">
        <v>122</v>
      </c>
      <c r="M562" s="93">
        <v>-51</v>
      </c>
      <c r="N562" s="53">
        <v>5.71</v>
      </c>
      <c r="O562" s="56" t="s">
        <v>1158</v>
      </c>
      <c r="P562" s="56" t="s">
        <v>1159</v>
      </c>
      <c r="Q562" s="56" t="s">
        <v>444</v>
      </c>
      <c r="R562" s="56" t="s">
        <v>1160</v>
      </c>
      <c r="S562" s="94" t="s">
        <v>1161</v>
      </c>
      <c r="T562" s="56" t="s">
        <v>122</v>
      </c>
      <c r="U562" s="89">
        <f>SUM(V562:AI562)</f>
        <v>8956639</v>
      </c>
      <c r="V562" s="54">
        <v>3555396</v>
      </c>
      <c r="W562" s="54">
        <v>4547</v>
      </c>
      <c r="X562" s="54">
        <v>0</v>
      </c>
      <c r="Y562" s="54">
        <f>651152+202326</f>
        <v>853478</v>
      </c>
      <c r="Z562" s="54">
        <v>215046</v>
      </c>
      <c r="AA562" s="54">
        <v>91000</v>
      </c>
      <c r="AB562" s="90">
        <v>0</v>
      </c>
      <c r="AC562" s="54" t="s">
        <v>122</v>
      </c>
      <c r="AD562" s="90">
        <f>681776-76358-22099-8474</f>
        <v>574845</v>
      </c>
      <c r="AE562" s="90" t="s">
        <v>122</v>
      </c>
      <c r="AF562" s="90">
        <f>76358+22099+8474</f>
        <v>106931</v>
      </c>
      <c r="AG562" s="54" t="s">
        <v>122</v>
      </c>
      <c r="AH562" s="90">
        <f>8956639-SUM(V562:AG562)</f>
        <v>3555396</v>
      </c>
      <c r="AI562" s="91" t="s">
        <v>122</v>
      </c>
      <c r="AJ562" s="92">
        <v>2.3199999999999998E-2</v>
      </c>
      <c r="AK562" s="54" t="s">
        <v>122</v>
      </c>
    </row>
    <row r="563" spans="1:37" ht="76.5">
      <c r="A563" s="107" t="s">
        <v>1162</v>
      </c>
      <c r="B563" s="53" t="s">
        <v>1163</v>
      </c>
      <c r="C563" s="53" t="s">
        <v>1152</v>
      </c>
      <c r="D563" s="99" t="s">
        <v>43</v>
      </c>
      <c r="E563" s="99" t="s">
        <v>44</v>
      </c>
      <c r="F563" s="99" t="s">
        <v>1348</v>
      </c>
      <c r="G563" s="206" t="s">
        <v>884</v>
      </c>
      <c r="H563" s="99" t="s">
        <v>62</v>
      </c>
      <c r="I563" s="53" t="s">
        <v>46</v>
      </c>
      <c r="J563" s="88">
        <v>185872832</v>
      </c>
      <c r="K563" s="54">
        <v>0</v>
      </c>
      <c r="L563" s="53" t="s">
        <v>122</v>
      </c>
      <c r="M563" s="53" t="s">
        <v>122</v>
      </c>
      <c r="N563" s="53">
        <v>5.71</v>
      </c>
      <c r="O563" s="56" t="s">
        <v>1164</v>
      </c>
      <c r="P563" s="56" t="s">
        <v>1159</v>
      </c>
      <c r="Q563" s="56" t="s">
        <v>444</v>
      </c>
      <c r="R563" s="56" t="s">
        <v>1160</v>
      </c>
      <c r="S563" s="56" t="s">
        <v>1161</v>
      </c>
      <c r="T563" s="56" t="s">
        <v>122</v>
      </c>
      <c r="U563" s="89">
        <f t="shared" ref="U563" si="14">SUM(V563:AI563)</f>
        <v>4480585</v>
      </c>
      <c r="V563" s="54">
        <v>1858834</v>
      </c>
      <c r="W563" s="54">
        <v>0</v>
      </c>
      <c r="X563" s="54">
        <v>0</v>
      </c>
      <c r="Y563" s="54">
        <f>341644+38627</f>
        <v>380271</v>
      </c>
      <c r="Z563" s="54">
        <v>89754</v>
      </c>
      <c r="AA563" s="54">
        <v>48000</v>
      </c>
      <c r="AB563" s="90">
        <v>0</v>
      </c>
      <c r="AC563" s="54" t="s">
        <v>122</v>
      </c>
      <c r="AD563" s="90">
        <f>244892-31042-10541-3502</f>
        <v>199807</v>
      </c>
      <c r="AE563" s="90" t="s">
        <v>122</v>
      </c>
      <c r="AF563" s="90">
        <f>31042+10541+3502</f>
        <v>45085</v>
      </c>
      <c r="AG563" s="54" t="s">
        <v>122</v>
      </c>
      <c r="AH563" s="90">
        <f>4480585-SUM(V563:AG563)</f>
        <v>1858834</v>
      </c>
      <c r="AI563" s="91" t="s">
        <v>122</v>
      </c>
      <c r="AJ563" s="92">
        <v>2.2800000000000001E-2</v>
      </c>
      <c r="AK563" s="54" t="s">
        <v>122</v>
      </c>
    </row>
    <row r="564" spans="1:37" ht="38.25">
      <c r="A564" s="118" t="s">
        <v>1165</v>
      </c>
      <c r="B564" s="80" t="s">
        <v>1166</v>
      </c>
      <c r="C564" s="80" t="s">
        <v>1167</v>
      </c>
      <c r="D564" s="98" t="s">
        <v>43</v>
      </c>
      <c r="E564" s="98" t="s">
        <v>44</v>
      </c>
      <c r="F564" s="98" t="s">
        <v>1348</v>
      </c>
      <c r="G564" s="98" t="s">
        <v>48</v>
      </c>
      <c r="H564" s="98" t="s">
        <v>45</v>
      </c>
      <c r="I564" s="98" t="s">
        <v>46</v>
      </c>
      <c r="J564" s="418">
        <v>3214451387.3346772</v>
      </c>
      <c r="K564" s="48" t="s">
        <v>1168</v>
      </c>
      <c r="L564" s="255" t="s">
        <v>1168</v>
      </c>
      <c r="M564" s="419">
        <v>7.0072999999999996E-2</v>
      </c>
      <c r="N564" s="419">
        <v>0.100259</v>
      </c>
      <c r="O564" s="420" t="s">
        <v>1169</v>
      </c>
      <c r="P564" s="421">
        <v>0</v>
      </c>
      <c r="Q564" s="47" t="s">
        <v>1170</v>
      </c>
      <c r="R564" s="176">
        <v>1E-3</v>
      </c>
      <c r="S564" s="422">
        <v>2.5000000000000001E-4</v>
      </c>
      <c r="T564" s="423" t="s">
        <v>92</v>
      </c>
      <c r="U564" s="199">
        <f>SUM(V564:AD564)+AF564+AG564+AH564</f>
        <v>38321243</v>
      </c>
      <c r="V564" s="199">
        <v>20170726</v>
      </c>
      <c r="W564" s="199">
        <v>0</v>
      </c>
      <c r="X564" s="199">
        <v>11748613</v>
      </c>
      <c r="Y564" s="199">
        <v>3205427</v>
      </c>
      <c r="Z564" s="199">
        <v>1840230</v>
      </c>
      <c r="AA564" s="199">
        <v>799000</v>
      </c>
      <c r="AB564" s="199">
        <v>0</v>
      </c>
      <c r="AC564" s="199">
        <v>0</v>
      </c>
      <c r="AD564" s="199">
        <v>0</v>
      </c>
      <c r="AE564" s="199">
        <v>0</v>
      </c>
      <c r="AF564" s="199">
        <v>2400</v>
      </c>
      <c r="AG564" s="199">
        <v>0</v>
      </c>
      <c r="AH564" s="199">
        <v>554847</v>
      </c>
      <c r="AI564" s="176">
        <v>0</v>
      </c>
      <c r="AJ564" s="176">
        <v>1.14E-2</v>
      </c>
      <c r="AK564" s="199">
        <v>0</v>
      </c>
    </row>
    <row r="565" spans="1:37" ht="38.25">
      <c r="A565" s="118" t="s">
        <v>1171</v>
      </c>
      <c r="B565" s="80" t="s">
        <v>1172</v>
      </c>
      <c r="C565" s="80" t="s">
        <v>1167</v>
      </c>
      <c r="D565" s="98" t="s">
        <v>43</v>
      </c>
      <c r="E565" s="98" t="s">
        <v>44</v>
      </c>
      <c r="F565" s="98" t="s">
        <v>1348</v>
      </c>
      <c r="G565" s="98" t="s">
        <v>58</v>
      </c>
      <c r="H565" s="98" t="s">
        <v>62</v>
      </c>
      <c r="I565" s="98" t="s">
        <v>46</v>
      </c>
      <c r="J565" s="418">
        <v>45066387.306451611</v>
      </c>
      <c r="K565" s="48" t="s">
        <v>1168</v>
      </c>
      <c r="L565" s="255" t="s">
        <v>1168</v>
      </c>
      <c r="M565" s="419">
        <v>-5.6030000000000003E-3</v>
      </c>
      <c r="N565" s="419">
        <v>-5.391E-2</v>
      </c>
      <c r="O565" s="421" t="s">
        <v>1173</v>
      </c>
      <c r="P565" s="421">
        <v>0.2</v>
      </c>
      <c r="Q565" s="47" t="s">
        <v>108</v>
      </c>
      <c r="R565" s="176">
        <v>1E-3</v>
      </c>
      <c r="S565" s="422">
        <v>2.5000000000000001E-4</v>
      </c>
      <c r="T565" s="423" t="s">
        <v>92</v>
      </c>
      <c r="U565" s="199">
        <f t="shared" ref="U565:U568" si="15">SUM(V565:AD565)+AF565+AG565+AH565</f>
        <v>1698234</v>
      </c>
      <c r="V565" s="199">
        <v>0</v>
      </c>
      <c r="W565" s="199">
        <v>0</v>
      </c>
      <c r="X565" s="199">
        <v>0</v>
      </c>
      <c r="Y565" s="199">
        <v>45407</v>
      </c>
      <c r="Z565" s="199">
        <v>1195705</v>
      </c>
      <c r="AA565" s="199">
        <v>11000</v>
      </c>
      <c r="AB565" s="199">
        <v>0</v>
      </c>
      <c r="AC565" s="199">
        <v>0</v>
      </c>
      <c r="AD565" s="199">
        <v>9617</v>
      </c>
      <c r="AE565" s="199">
        <v>0</v>
      </c>
      <c r="AF565" s="199">
        <v>2400</v>
      </c>
      <c r="AG565" s="199">
        <v>0</v>
      </c>
      <c r="AH565" s="199">
        <v>434105</v>
      </c>
      <c r="AI565" s="176">
        <v>0</v>
      </c>
      <c r="AJ565" s="176">
        <v>3.7400000000000003E-2</v>
      </c>
      <c r="AK565" s="199">
        <v>0</v>
      </c>
    </row>
    <row r="566" spans="1:37" ht="38.25">
      <c r="A566" s="118" t="s">
        <v>1174</v>
      </c>
      <c r="B566" s="80" t="s">
        <v>1175</v>
      </c>
      <c r="C566" s="80" t="s">
        <v>1167</v>
      </c>
      <c r="D566" s="98" t="s">
        <v>43</v>
      </c>
      <c r="E566" s="98" t="s">
        <v>44</v>
      </c>
      <c r="F566" s="98" t="s">
        <v>1348</v>
      </c>
      <c r="G566" s="98" t="s">
        <v>641</v>
      </c>
      <c r="H566" s="98" t="s">
        <v>45</v>
      </c>
      <c r="I566" s="98" t="s">
        <v>46</v>
      </c>
      <c r="J566" s="418">
        <v>34923280390.831322</v>
      </c>
      <c r="K566" s="48" t="s">
        <v>1168</v>
      </c>
      <c r="L566" s="255" t="s">
        <v>1168</v>
      </c>
      <c r="M566" s="419">
        <v>3.9209000000000001E-2</v>
      </c>
      <c r="N566" s="419">
        <v>5.7070000000000003E-2</v>
      </c>
      <c r="O566" s="421" t="s">
        <v>1176</v>
      </c>
      <c r="P566" s="421">
        <v>0</v>
      </c>
      <c r="Q566" s="47" t="s">
        <v>1170</v>
      </c>
      <c r="R566" s="176">
        <v>1E-3</v>
      </c>
      <c r="S566" s="422">
        <v>2.5000000000000001E-4</v>
      </c>
      <c r="T566" s="423" t="s">
        <v>92</v>
      </c>
      <c r="U566" s="199">
        <f t="shared" si="15"/>
        <v>291560630</v>
      </c>
      <c r="V566" s="199">
        <v>148405954</v>
      </c>
      <c r="W566" s="199">
        <v>0</v>
      </c>
      <c r="X566" s="199">
        <v>95983092</v>
      </c>
      <c r="Y566" s="199">
        <v>35184704</v>
      </c>
      <c r="Z566" s="199">
        <v>2420303</v>
      </c>
      <c r="AA566" s="199">
        <v>8736000</v>
      </c>
      <c r="AB566" s="199">
        <v>0</v>
      </c>
      <c r="AC566" s="199">
        <v>0</v>
      </c>
      <c r="AD566" s="199">
        <v>0</v>
      </c>
      <c r="AE566" s="199">
        <v>0</v>
      </c>
      <c r="AF566" s="199">
        <v>257600</v>
      </c>
      <c r="AG566" s="199">
        <v>0</v>
      </c>
      <c r="AH566" s="199">
        <v>572977</v>
      </c>
      <c r="AI566" s="176">
        <v>0</v>
      </c>
      <c r="AJ566" s="176">
        <v>7.7000000000000002E-3</v>
      </c>
      <c r="AK566" s="199">
        <v>0</v>
      </c>
    </row>
    <row r="567" spans="1:37" ht="38.25">
      <c r="A567" s="118" t="s">
        <v>1177</v>
      </c>
      <c r="B567" s="80" t="s">
        <v>1178</v>
      </c>
      <c r="C567" s="80" t="s">
        <v>1167</v>
      </c>
      <c r="D567" s="98" t="s">
        <v>43</v>
      </c>
      <c r="E567" s="98" t="s">
        <v>44</v>
      </c>
      <c r="F567" s="98" t="s">
        <v>884</v>
      </c>
      <c r="G567" s="98" t="s">
        <v>97</v>
      </c>
      <c r="H567" s="98" t="s">
        <v>62</v>
      </c>
      <c r="I567" s="98" t="s">
        <v>46</v>
      </c>
      <c r="J567" s="418">
        <v>252167559.6451613</v>
      </c>
      <c r="K567" s="48" t="s">
        <v>1168</v>
      </c>
      <c r="L567" s="255" t="s">
        <v>1168</v>
      </c>
      <c r="M567" s="419">
        <v>1.5630000000000002E-2</v>
      </c>
      <c r="N567" s="419">
        <v>5.7070000000000003E-2</v>
      </c>
      <c r="O567" s="421" t="s">
        <v>1173</v>
      </c>
      <c r="P567" s="421">
        <v>0.18</v>
      </c>
      <c r="Q567" s="371" t="s">
        <v>108</v>
      </c>
      <c r="R567" s="176">
        <v>1E-3</v>
      </c>
      <c r="S567" s="422">
        <v>2.5000000000000001E-4</v>
      </c>
      <c r="T567" s="423" t="s">
        <v>92</v>
      </c>
      <c r="U567" s="199">
        <f t="shared" si="15"/>
        <v>7795251</v>
      </c>
      <c r="V567" s="199">
        <v>2101921</v>
      </c>
      <c r="W567" s="199">
        <v>0</v>
      </c>
      <c r="X567" s="199">
        <v>1677900</v>
      </c>
      <c r="Y567" s="199">
        <v>254433</v>
      </c>
      <c r="Z567" s="199">
        <v>1582420</v>
      </c>
      <c r="AA567" s="199">
        <v>64000</v>
      </c>
      <c r="AB567" s="199">
        <v>0</v>
      </c>
      <c r="AC567" s="199">
        <v>0</v>
      </c>
      <c r="AD567" s="199">
        <v>1677900</v>
      </c>
      <c r="AE567" s="199">
        <v>0</v>
      </c>
      <c r="AF567" s="199">
        <v>7900</v>
      </c>
      <c r="AG567" s="199">
        <v>0</v>
      </c>
      <c r="AH567" s="199">
        <v>428777</v>
      </c>
      <c r="AI567" s="176">
        <v>0</v>
      </c>
      <c r="AJ567" s="176">
        <v>2.4E-2</v>
      </c>
      <c r="AK567" s="199">
        <v>0</v>
      </c>
    </row>
    <row r="568" spans="1:37" ht="38.25">
      <c r="A568" s="118" t="s">
        <v>1179</v>
      </c>
      <c r="B568" s="80" t="s">
        <v>1180</v>
      </c>
      <c r="C568" s="80" t="s">
        <v>1167</v>
      </c>
      <c r="D568" s="98" t="s">
        <v>43</v>
      </c>
      <c r="E568" s="98" t="s">
        <v>44</v>
      </c>
      <c r="F568" s="98" t="s">
        <v>884</v>
      </c>
      <c r="G568" s="98" t="s">
        <v>622</v>
      </c>
      <c r="H568" s="98" t="s">
        <v>62</v>
      </c>
      <c r="I568" s="98" t="s">
        <v>46</v>
      </c>
      <c r="J568" s="418">
        <v>1171418840.5282259</v>
      </c>
      <c r="K568" s="48" t="s">
        <v>1168</v>
      </c>
      <c r="L568" s="255" t="s">
        <v>1168</v>
      </c>
      <c r="M568" s="419">
        <v>4.2974999999999999E-2</v>
      </c>
      <c r="N568" s="419">
        <v>5.7070000000000003E-2</v>
      </c>
      <c r="O568" s="421" t="s">
        <v>1181</v>
      </c>
      <c r="P568" s="421">
        <v>0.18</v>
      </c>
      <c r="Q568" s="371" t="s">
        <v>108</v>
      </c>
      <c r="R568" s="176">
        <v>1E-3</v>
      </c>
      <c r="S568" s="422">
        <v>2.5000000000000001E-4</v>
      </c>
      <c r="T568" s="423" t="s">
        <v>92</v>
      </c>
      <c r="U568" s="199">
        <f t="shared" si="15"/>
        <v>9458696</v>
      </c>
      <c r="V568" s="199">
        <v>3355001</v>
      </c>
      <c r="W568" s="199">
        <v>0</v>
      </c>
      <c r="X568" s="199">
        <v>2510263</v>
      </c>
      <c r="Y568" s="199">
        <v>1180302</v>
      </c>
      <c r="Z568" s="199">
        <v>1517968</v>
      </c>
      <c r="AA568" s="199">
        <v>295000</v>
      </c>
      <c r="AB568" s="199">
        <v>0</v>
      </c>
      <c r="AC568" s="199">
        <v>0</v>
      </c>
      <c r="AD568" s="199">
        <v>73446</v>
      </c>
      <c r="AE568" s="199">
        <v>0</v>
      </c>
      <c r="AF568" s="199">
        <v>26339</v>
      </c>
      <c r="AG568" s="199">
        <v>0</v>
      </c>
      <c r="AH568" s="199">
        <v>500377</v>
      </c>
      <c r="AI568" s="176">
        <v>0</v>
      </c>
      <c r="AJ568" s="176">
        <v>7.4000000000000003E-3</v>
      </c>
      <c r="AK568" s="199">
        <v>0</v>
      </c>
    </row>
    <row r="569" spans="1:37">
      <c r="A569" s="253" t="s">
        <v>1189</v>
      </c>
      <c r="B569" s="254" t="s">
        <v>1190</v>
      </c>
      <c r="C569" s="254" t="s">
        <v>1191</v>
      </c>
      <c r="D569" s="255" t="s">
        <v>43</v>
      </c>
      <c r="E569" s="255" t="s">
        <v>44</v>
      </c>
      <c r="F569" s="255" t="s">
        <v>55</v>
      </c>
      <c r="G569" s="255" t="s">
        <v>97</v>
      </c>
      <c r="H569" s="255" t="s">
        <v>62</v>
      </c>
      <c r="I569" s="255" t="s">
        <v>69</v>
      </c>
      <c r="J569" s="180">
        <v>8578275.4240322504</v>
      </c>
      <c r="K569" s="180"/>
      <c r="L569" s="128"/>
      <c r="M569" s="129">
        <v>0.15960000000000002</v>
      </c>
      <c r="N569" s="129">
        <v>1.1000000000000001E-2</v>
      </c>
      <c r="O569" s="250" t="s">
        <v>349</v>
      </c>
      <c r="P569" s="250" t="s">
        <v>92</v>
      </c>
      <c r="Q569" s="250" t="s">
        <v>122</v>
      </c>
      <c r="R569" s="129" t="s">
        <v>351</v>
      </c>
      <c r="S569" s="129" t="s">
        <v>352</v>
      </c>
      <c r="T569" s="129" t="s">
        <v>353</v>
      </c>
      <c r="U569" s="180">
        <f t="shared" ref="U569" si="16">SUM(V569:AH569)</f>
        <v>10815.067423461654</v>
      </c>
      <c r="V569" s="180">
        <v>0</v>
      </c>
      <c r="W569" s="180">
        <v>0</v>
      </c>
      <c r="X569" s="180">
        <v>0</v>
      </c>
      <c r="Y569" s="180">
        <v>3240.8235111649992</v>
      </c>
      <c r="Z569" s="180">
        <v>3660.1091239769626</v>
      </c>
      <c r="AA569" s="180">
        <v>2172.9345592940622</v>
      </c>
      <c r="AB569" s="180">
        <v>0</v>
      </c>
      <c r="AC569" s="180">
        <v>0</v>
      </c>
      <c r="AD569" s="180">
        <v>721.64066552153838</v>
      </c>
      <c r="AE569" s="180">
        <v>0</v>
      </c>
      <c r="AF569" s="180">
        <v>349.73032231989487</v>
      </c>
      <c r="AG569" s="180"/>
      <c r="AH569" s="180">
        <v>669.82924118419714</v>
      </c>
      <c r="AI569" s="129">
        <v>8.0999999999999996E-3</v>
      </c>
      <c r="AJ569" s="129">
        <v>9.2147906479826056E-3</v>
      </c>
      <c r="AK569" s="180">
        <v>0</v>
      </c>
    </row>
  </sheetData>
  <autoFilter ref="A3:AN569"/>
  <mergeCells count="520">
    <mergeCell ref="A1:I1"/>
    <mergeCell ref="J1:N1"/>
    <mergeCell ref="O1:T1"/>
    <mergeCell ref="U1:AH1"/>
    <mergeCell ref="D492:D494"/>
    <mergeCell ref="E492:E494"/>
    <mergeCell ref="F492:F494"/>
    <mergeCell ref="G492:G494"/>
    <mergeCell ref="H492:H494"/>
    <mergeCell ref="R492:R494"/>
    <mergeCell ref="AH492:AH494"/>
    <mergeCell ref="AI492:AI494"/>
    <mergeCell ref="AK492:AK494"/>
    <mergeCell ref="D495:D496"/>
    <mergeCell ref="E495:E496"/>
    <mergeCell ref="F495:F496"/>
    <mergeCell ref="G495:G496"/>
    <mergeCell ref="H495:H496"/>
    <mergeCell ref="R495:R496"/>
    <mergeCell ref="S495:S496"/>
    <mergeCell ref="AB492:AB494"/>
    <mergeCell ref="AC492:AC494"/>
    <mergeCell ref="AD492:AD494"/>
    <mergeCell ref="AE492:AE494"/>
    <mergeCell ref="AF492:AF494"/>
    <mergeCell ref="AG492:AG494"/>
    <mergeCell ref="S492:S494"/>
    <mergeCell ref="U492:U494"/>
    <mergeCell ref="V492:V494"/>
    <mergeCell ref="Y492:Y494"/>
    <mergeCell ref="Z492:Z494"/>
    <mergeCell ref="AA492:AA494"/>
    <mergeCell ref="AI495:AI496"/>
    <mergeCell ref="AK495:AK496"/>
    <mergeCell ref="AD495:AD496"/>
    <mergeCell ref="D497:D500"/>
    <mergeCell ref="E497:E500"/>
    <mergeCell ref="F497:F500"/>
    <mergeCell ref="G497:G500"/>
    <mergeCell ref="H497:H500"/>
    <mergeCell ref="R497:R500"/>
    <mergeCell ref="S497:S500"/>
    <mergeCell ref="U497:U500"/>
    <mergeCell ref="AC495:AC496"/>
    <mergeCell ref="AE495:AE496"/>
    <mergeCell ref="AF495:AF496"/>
    <mergeCell ref="AG495:AG496"/>
    <mergeCell ref="AH495:AH496"/>
    <mergeCell ref="U495:U496"/>
    <mergeCell ref="V495:V496"/>
    <mergeCell ref="Y495:Y496"/>
    <mergeCell ref="Z495:Z496"/>
    <mergeCell ref="AA495:AA496"/>
    <mergeCell ref="AB495:AB496"/>
    <mergeCell ref="AK497:AK500"/>
    <mergeCell ref="D501:D504"/>
    <mergeCell ref="E501:E504"/>
    <mergeCell ref="F501:F504"/>
    <mergeCell ref="G501:G504"/>
    <mergeCell ref="H501:H504"/>
    <mergeCell ref="R501:R504"/>
    <mergeCell ref="S501:S504"/>
    <mergeCell ref="U501:U504"/>
    <mergeCell ref="V501:V504"/>
    <mergeCell ref="AD497:AD500"/>
    <mergeCell ref="AE497:AE500"/>
    <mergeCell ref="AF497:AF500"/>
    <mergeCell ref="AG497:AG500"/>
    <mergeCell ref="AH497:AH500"/>
    <mergeCell ref="AI497:AI500"/>
    <mergeCell ref="V497:V500"/>
    <mergeCell ref="Y497:Y500"/>
    <mergeCell ref="Z497:Z500"/>
    <mergeCell ref="AA497:AA500"/>
    <mergeCell ref="AB497:AB500"/>
    <mergeCell ref="AC497:AC500"/>
    <mergeCell ref="AG501:AG504"/>
    <mergeCell ref="AH501:AH504"/>
    <mergeCell ref="AI501:AI504"/>
    <mergeCell ref="AK501:AK504"/>
    <mergeCell ref="Y501:Y504"/>
    <mergeCell ref="Z501:Z504"/>
    <mergeCell ref="AA501:AA504"/>
    <mergeCell ref="AB501:AB504"/>
    <mergeCell ref="AC501:AC504"/>
    <mergeCell ref="AD501:AD504"/>
    <mergeCell ref="AA505:AA508"/>
    <mergeCell ref="AH505:AH508"/>
    <mergeCell ref="AI505:AI508"/>
    <mergeCell ref="AK505:AK508"/>
    <mergeCell ref="AG505:AG508"/>
    <mergeCell ref="D505:D508"/>
    <mergeCell ref="E505:E508"/>
    <mergeCell ref="F505:F508"/>
    <mergeCell ref="G505:G508"/>
    <mergeCell ref="H505:H508"/>
    <mergeCell ref="R505:R508"/>
    <mergeCell ref="AE501:AE504"/>
    <mergeCell ref="AF501:AF504"/>
    <mergeCell ref="Z509:Z512"/>
    <mergeCell ref="AA509:AA512"/>
    <mergeCell ref="AB509:AB512"/>
    <mergeCell ref="D509:D512"/>
    <mergeCell ref="E509:E512"/>
    <mergeCell ref="F509:F512"/>
    <mergeCell ref="G509:G512"/>
    <mergeCell ref="H509:H512"/>
    <mergeCell ref="R509:R512"/>
    <mergeCell ref="S509:S512"/>
    <mergeCell ref="AB505:AB508"/>
    <mergeCell ref="AC505:AC508"/>
    <mergeCell ref="AD505:AD508"/>
    <mergeCell ref="AE505:AE508"/>
    <mergeCell ref="AF505:AF508"/>
    <mergeCell ref="S505:S508"/>
    <mergeCell ref="U505:U508"/>
    <mergeCell ref="V505:V508"/>
    <mergeCell ref="Y505:Y508"/>
    <mergeCell ref="Z505:Z508"/>
    <mergeCell ref="Y513:Y516"/>
    <mergeCell ref="Z513:Z516"/>
    <mergeCell ref="AA513:AA516"/>
    <mergeCell ref="AB513:AB516"/>
    <mergeCell ref="AC513:AC516"/>
    <mergeCell ref="AI509:AI512"/>
    <mergeCell ref="AK509:AK512"/>
    <mergeCell ref="D513:D516"/>
    <mergeCell ref="E513:E516"/>
    <mergeCell ref="F513:F516"/>
    <mergeCell ref="G513:G516"/>
    <mergeCell ref="H513:H516"/>
    <mergeCell ref="R513:R516"/>
    <mergeCell ref="S513:S516"/>
    <mergeCell ref="U513:U516"/>
    <mergeCell ref="AC509:AC512"/>
    <mergeCell ref="AD509:AD512"/>
    <mergeCell ref="AE509:AE512"/>
    <mergeCell ref="AF509:AF512"/>
    <mergeCell ref="AG509:AG512"/>
    <mergeCell ref="AH509:AH512"/>
    <mergeCell ref="U509:U512"/>
    <mergeCell ref="V509:V512"/>
    <mergeCell ref="Y509:Y512"/>
    <mergeCell ref="AK517:AK520"/>
    <mergeCell ref="Y517:Y520"/>
    <mergeCell ref="Z517:Z520"/>
    <mergeCell ref="AA517:AA520"/>
    <mergeCell ref="AB517:AB520"/>
    <mergeCell ref="AC517:AC520"/>
    <mergeCell ref="AD517:AD520"/>
    <mergeCell ref="AK513:AK516"/>
    <mergeCell ref="D517:D520"/>
    <mergeCell ref="E517:E520"/>
    <mergeCell ref="F517:F520"/>
    <mergeCell ref="G517:G520"/>
    <mergeCell ref="H517:H520"/>
    <mergeCell ref="R517:R520"/>
    <mergeCell ref="S517:S520"/>
    <mergeCell ref="U517:U520"/>
    <mergeCell ref="V517:V520"/>
    <mergeCell ref="AD513:AD516"/>
    <mergeCell ref="AE513:AE516"/>
    <mergeCell ref="AF513:AF516"/>
    <mergeCell ref="AG513:AG516"/>
    <mergeCell ref="AH513:AH516"/>
    <mergeCell ref="AI513:AI516"/>
    <mergeCell ref="V513:V516"/>
    <mergeCell ref="F521:F524"/>
    <mergeCell ref="G521:G524"/>
    <mergeCell ref="H521:H524"/>
    <mergeCell ref="R521:R524"/>
    <mergeCell ref="AE517:AE520"/>
    <mergeCell ref="AF517:AF520"/>
    <mergeCell ref="AG517:AG520"/>
    <mergeCell ref="AH517:AH520"/>
    <mergeCell ref="AI517:AI520"/>
    <mergeCell ref="AH521:AH524"/>
    <mergeCell ref="AI521:AI524"/>
    <mergeCell ref="AK521:AK524"/>
    <mergeCell ref="D525:D528"/>
    <mergeCell ref="E525:E528"/>
    <mergeCell ref="F525:F528"/>
    <mergeCell ref="G525:G528"/>
    <mergeCell ref="H525:H528"/>
    <mergeCell ref="R525:R528"/>
    <mergeCell ref="S525:S528"/>
    <mergeCell ref="AB521:AB524"/>
    <mergeCell ref="AC521:AC524"/>
    <mergeCell ref="AD521:AD524"/>
    <mergeCell ref="AE521:AE524"/>
    <mergeCell ref="AF521:AF524"/>
    <mergeCell ref="AG521:AG524"/>
    <mergeCell ref="S521:S524"/>
    <mergeCell ref="U521:U524"/>
    <mergeCell ref="V521:V524"/>
    <mergeCell ref="Y521:Y524"/>
    <mergeCell ref="Z521:Z524"/>
    <mergeCell ref="AA521:AA524"/>
    <mergeCell ref="D521:D524"/>
    <mergeCell ref="E521:E524"/>
    <mergeCell ref="AI525:AI528"/>
    <mergeCell ref="AK525:AK528"/>
    <mergeCell ref="D529:D530"/>
    <mergeCell ref="E529:E530"/>
    <mergeCell ref="F529:F530"/>
    <mergeCell ref="G529:G530"/>
    <mergeCell ref="H529:H530"/>
    <mergeCell ref="I529:I530"/>
    <mergeCell ref="J529:J530"/>
    <mergeCell ref="K529:K530"/>
    <mergeCell ref="AC525:AC528"/>
    <mergeCell ref="T529:T530"/>
    <mergeCell ref="U529:U530"/>
    <mergeCell ref="V529:V530"/>
    <mergeCell ref="W529:W530"/>
    <mergeCell ref="L529:L530"/>
    <mergeCell ref="M529:M530"/>
    <mergeCell ref="N529:N530"/>
    <mergeCell ref="O529:O530"/>
    <mergeCell ref="P529:P530"/>
    <mergeCell ref="Q529:Q530"/>
    <mergeCell ref="AD525:AD528"/>
    <mergeCell ref="AE525:AE528"/>
    <mergeCell ref="AF525:AF528"/>
    <mergeCell ref="AG525:AG528"/>
    <mergeCell ref="AH525:AH528"/>
    <mergeCell ref="U525:U528"/>
    <mergeCell ref="V525:V528"/>
    <mergeCell ref="Y525:Y528"/>
    <mergeCell ref="Z525:Z528"/>
    <mergeCell ref="AA525:AA528"/>
    <mergeCell ref="AB525:AB528"/>
    <mergeCell ref="AJ529:AJ530"/>
    <mergeCell ref="AK529:AK530"/>
    <mergeCell ref="D531:D532"/>
    <mergeCell ref="E531:E532"/>
    <mergeCell ref="F531:F532"/>
    <mergeCell ref="G531:G532"/>
    <mergeCell ref="H531:H532"/>
    <mergeCell ref="I531:I532"/>
    <mergeCell ref="J531:J532"/>
    <mergeCell ref="K531:K532"/>
    <mergeCell ref="AD529:AD530"/>
    <mergeCell ref="AE529:AE530"/>
    <mergeCell ref="AF529:AF530"/>
    <mergeCell ref="AG529:AG530"/>
    <mergeCell ref="AH529:AH530"/>
    <mergeCell ref="AI529:AI530"/>
    <mergeCell ref="X529:X530"/>
    <mergeCell ref="Y529:Y530"/>
    <mergeCell ref="Z529:Z530"/>
    <mergeCell ref="AA529:AA530"/>
    <mergeCell ref="AB529:AB530"/>
    <mergeCell ref="AC529:AC530"/>
    <mergeCell ref="R529:R530"/>
    <mergeCell ref="S529:S530"/>
    <mergeCell ref="T531:T532"/>
    <mergeCell ref="U531:U532"/>
    <mergeCell ref="V531:V532"/>
    <mergeCell ref="W531:W532"/>
    <mergeCell ref="L531:L532"/>
    <mergeCell ref="M531:M532"/>
    <mergeCell ref="N531:N532"/>
    <mergeCell ref="O531:O532"/>
    <mergeCell ref="P531:P532"/>
    <mergeCell ref="Q531:Q532"/>
    <mergeCell ref="AJ531:AJ532"/>
    <mergeCell ref="AK531:AK532"/>
    <mergeCell ref="D536:D539"/>
    <mergeCell ref="E536:E539"/>
    <mergeCell ref="F536:F539"/>
    <mergeCell ref="G536:G539"/>
    <mergeCell ref="H536:H539"/>
    <mergeCell ref="I536:I539"/>
    <mergeCell ref="J536:J539"/>
    <mergeCell ref="K536:K539"/>
    <mergeCell ref="AD531:AD532"/>
    <mergeCell ref="AE531:AE532"/>
    <mergeCell ref="AF531:AF532"/>
    <mergeCell ref="AG531:AG532"/>
    <mergeCell ref="AH531:AH532"/>
    <mergeCell ref="AI531:AI532"/>
    <mergeCell ref="X531:X532"/>
    <mergeCell ref="Y531:Y532"/>
    <mergeCell ref="Z531:Z532"/>
    <mergeCell ref="AA531:AA532"/>
    <mergeCell ref="AB531:AB532"/>
    <mergeCell ref="AC531:AC532"/>
    <mergeCell ref="R531:R532"/>
    <mergeCell ref="S531:S532"/>
    <mergeCell ref="T536:T539"/>
    <mergeCell ref="U536:U539"/>
    <mergeCell ref="V536:V539"/>
    <mergeCell ref="W536:W539"/>
    <mergeCell ref="L536:L539"/>
    <mergeCell ref="M536:M539"/>
    <mergeCell ref="N536:N539"/>
    <mergeCell ref="O536:O539"/>
    <mergeCell ref="P536:P539"/>
    <mergeCell ref="Q536:Q539"/>
    <mergeCell ref="AJ536:AJ539"/>
    <mergeCell ref="AK536:AK539"/>
    <mergeCell ref="D540:D541"/>
    <mergeCell ref="E540:E541"/>
    <mergeCell ref="F540:F541"/>
    <mergeCell ref="G540:G541"/>
    <mergeCell ref="H540:H541"/>
    <mergeCell ref="I540:I541"/>
    <mergeCell ref="J540:J541"/>
    <mergeCell ref="K540:K541"/>
    <mergeCell ref="AD536:AD539"/>
    <mergeCell ref="AE536:AE539"/>
    <mergeCell ref="AF536:AF539"/>
    <mergeCell ref="AG536:AG539"/>
    <mergeCell ref="AH536:AH539"/>
    <mergeCell ref="AI536:AI539"/>
    <mergeCell ref="X536:X539"/>
    <mergeCell ref="Y536:Y539"/>
    <mergeCell ref="Z536:Z539"/>
    <mergeCell ref="AA536:AA539"/>
    <mergeCell ref="AB536:AB539"/>
    <mergeCell ref="AC536:AC539"/>
    <mergeCell ref="R536:R539"/>
    <mergeCell ref="S536:S539"/>
    <mergeCell ref="T540:T541"/>
    <mergeCell ref="U540:U541"/>
    <mergeCell ref="V540:V541"/>
    <mergeCell ref="W540:W541"/>
    <mergeCell ref="L540:L541"/>
    <mergeCell ref="M540:M541"/>
    <mergeCell ref="N540:N541"/>
    <mergeCell ref="O540:O541"/>
    <mergeCell ref="P540:P541"/>
    <mergeCell ref="Q540:Q541"/>
    <mergeCell ref="AJ540:AJ541"/>
    <mergeCell ref="AK540:AK541"/>
    <mergeCell ref="D543:D544"/>
    <mergeCell ref="E543:E544"/>
    <mergeCell ref="F543:F544"/>
    <mergeCell ref="G543:G544"/>
    <mergeCell ref="H543:H544"/>
    <mergeCell ref="I543:I544"/>
    <mergeCell ref="J543:J544"/>
    <mergeCell ref="K543:K544"/>
    <mergeCell ref="AD540:AD541"/>
    <mergeCell ref="AE540:AE541"/>
    <mergeCell ref="AF540:AF541"/>
    <mergeCell ref="AG540:AG541"/>
    <mergeCell ref="AH540:AH541"/>
    <mergeCell ref="AI540:AI541"/>
    <mergeCell ref="X540:X541"/>
    <mergeCell ref="Y540:Y541"/>
    <mergeCell ref="Z540:Z541"/>
    <mergeCell ref="AA540:AA541"/>
    <mergeCell ref="AB540:AB541"/>
    <mergeCell ref="AC540:AC541"/>
    <mergeCell ref="R540:R541"/>
    <mergeCell ref="S540:S541"/>
    <mergeCell ref="T543:T544"/>
    <mergeCell ref="U543:U544"/>
    <mergeCell ref="V543:V544"/>
    <mergeCell ref="W543:W544"/>
    <mergeCell ref="L543:L544"/>
    <mergeCell ref="M543:M544"/>
    <mergeCell ref="N543:N544"/>
    <mergeCell ref="O543:O544"/>
    <mergeCell ref="P543:P544"/>
    <mergeCell ref="Q543:Q544"/>
    <mergeCell ref="AJ543:AJ544"/>
    <mergeCell ref="AK543:AK544"/>
    <mergeCell ref="D546:D547"/>
    <mergeCell ref="E546:E547"/>
    <mergeCell ref="F546:F547"/>
    <mergeCell ref="G546:G547"/>
    <mergeCell ref="H546:H547"/>
    <mergeCell ref="I546:I547"/>
    <mergeCell ref="J546:J547"/>
    <mergeCell ref="K546:K547"/>
    <mergeCell ref="AD543:AD544"/>
    <mergeCell ref="AE543:AE544"/>
    <mergeCell ref="AF543:AF544"/>
    <mergeCell ref="AG543:AG544"/>
    <mergeCell ref="AH543:AH544"/>
    <mergeCell ref="AI543:AI544"/>
    <mergeCell ref="X543:X544"/>
    <mergeCell ref="Y543:Y544"/>
    <mergeCell ref="Z543:Z544"/>
    <mergeCell ref="AA543:AA544"/>
    <mergeCell ref="AB543:AB544"/>
    <mergeCell ref="AC543:AC544"/>
    <mergeCell ref="R543:R544"/>
    <mergeCell ref="S543:S544"/>
    <mergeCell ref="T546:T547"/>
    <mergeCell ref="U546:U547"/>
    <mergeCell ref="V546:V547"/>
    <mergeCell ref="W546:W547"/>
    <mergeCell ref="L546:L547"/>
    <mergeCell ref="M546:M547"/>
    <mergeCell ref="N546:N547"/>
    <mergeCell ref="O546:O547"/>
    <mergeCell ref="P546:P547"/>
    <mergeCell ref="Q546:Q547"/>
    <mergeCell ref="AJ546:AJ547"/>
    <mergeCell ref="AK546:AK547"/>
    <mergeCell ref="D550:D551"/>
    <mergeCell ref="E550:E551"/>
    <mergeCell ref="F550:F551"/>
    <mergeCell ref="G550:G551"/>
    <mergeCell ref="H550:H551"/>
    <mergeCell ref="I550:I551"/>
    <mergeCell ref="J550:J551"/>
    <mergeCell ref="K550:K551"/>
    <mergeCell ref="AD546:AD547"/>
    <mergeCell ref="AE546:AE547"/>
    <mergeCell ref="AF546:AF547"/>
    <mergeCell ref="AG546:AG547"/>
    <mergeCell ref="AH546:AH547"/>
    <mergeCell ref="AI546:AI547"/>
    <mergeCell ref="X546:X547"/>
    <mergeCell ref="Y546:Y547"/>
    <mergeCell ref="Z546:Z547"/>
    <mergeCell ref="AA546:AA547"/>
    <mergeCell ref="AB546:AB547"/>
    <mergeCell ref="AC546:AC547"/>
    <mergeCell ref="R546:R547"/>
    <mergeCell ref="S546:S547"/>
    <mergeCell ref="T550:T551"/>
    <mergeCell ref="U550:U551"/>
    <mergeCell ref="V550:V551"/>
    <mergeCell ref="W550:W551"/>
    <mergeCell ref="L550:L551"/>
    <mergeCell ref="M550:M551"/>
    <mergeCell ref="N550:N551"/>
    <mergeCell ref="O550:O551"/>
    <mergeCell ref="P550:P551"/>
    <mergeCell ref="Q550:Q551"/>
    <mergeCell ref="AJ550:AJ551"/>
    <mergeCell ref="AK550:AK551"/>
    <mergeCell ref="D552:D553"/>
    <mergeCell ref="E552:E553"/>
    <mergeCell ref="F552:F553"/>
    <mergeCell ref="G552:G553"/>
    <mergeCell ref="H552:H553"/>
    <mergeCell ref="I552:I553"/>
    <mergeCell ref="J552:J553"/>
    <mergeCell ref="K552:K553"/>
    <mergeCell ref="AD550:AD551"/>
    <mergeCell ref="AE550:AE551"/>
    <mergeCell ref="AF550:AF551"/>
    <mergeCell ref="AG550:AG551"/>
    <mergeCell ref="AH550:AH551"/>
    <mergeCell ref="AI550:AI551"/>
    <mergeCell ref="X550:X551"/>
    <mergeCell ref="Y550:Y551"/>
    <mergeCell ref="Z550:Z551"/>
    <mergeCell ref="AA550:AA551"/>
    <mergeCell ref="AB550:AB551"/>
    <mergeCell ref="AC550:AC551"/>
    <mergeCell ref="R550:R551"/>
    <mergeCell ref="S550:S551"/>
    <mergeCell ref="T552:T553"/>
    <mergeCell ref="U552:U553"/>
    <mergeCell ref="V552:V553"/>
    <mergeCell ref="W552:W553"/>
    <mergeCell ref="L552:L553"/>
    <mergeCell ref="M552:M553"/>
    <mergeCell ref="N552:N553"/>
    <mergeCell ref="O552:O553"/>
    <mergeCell ref="P552:P553"/>
    <mergeCell ref="Q552:Q553"/>
    <mergeCell ref="AJ552:AJ553"/>
    <mergeCell ref="AK552:AK553"/>
    <mergeCell ref="D554:D555"/>
    <mergeCell ref="E554:E555"/>
    <mergeCell ref="F554:F555"/>
    <mergeCell ref="G554:G555"/>
    <mergeCell ref="H554:H555"/>
    <mergeCell ref="I554:I555"/>
    <mergeCell ref="J554:J555"/>
    <mergeCell ref="K554:K555"/>
    <mergeCell ref="AD552:AD553"/>
    <mergeCell ref="AE552:AE553"/>
    <mergeCell ref="AF552:AF553"/>
    <mergeCell ref="AG552:AG553"/>
    <mergeCell ref="AH552:AH553"/>
    <mergeCell ref="AI552:AI553"/>
    <mergeCell ref="X552:X553"/>
    <mergeCell ref="Y552:Y553"/>
    <mergeCell ref="Z552:Z553"/>
    <mergeCell ref="AA552:AA553"/>
    <mergeCell ref="AB552:AB553"/>
    <mergeCell ref="AC552:AC553"/>
    <mergeCell ref="R552:R553"/>
    <mergeCell ref="S552:S553"/>
    <mergeCell ref="R554:R555"/>
    <mergeCell ref="S554:S555"/>
    <mergeCell ref="T554:T555"/>
    <mergeCell ref="U554:U555"/>
    <mergeCell ref="V554:V555"/>
    <mergeCell ref="W554:W555"/>
    <mergeCell ref="L554:L555"/>
    <mergeCell ref="M554:M555"/>
    <mergeCell ref="N554:N555"/>
    <mergeCell ref="O554:O555"/>
    <mergeCell ref="P554:P555"/>
    <mergeCell ref="Q554:Q555"/>
    <mergeCell ref="AJ554:AJ555"/>
    <mergeCell ref="AK554:AK555"/>
    <mergeCell ref="AD554:AD555"/>
    <mergeCell ref="AE554:AE555"/>
    <mergeCell ref="AF554:AF555"/>
    <mergeCell ref="AG554:AG555"/>
    <mergeCell ref="AH554:AH555"/>
    <mergeCell ref="AI554:AI555"/>
    <mergeCell ref="X554:X555"/>
    <mergeCell ref="Y554:Y555"/>
    <mergeCell ref="Z554:Z555"/>
    <mergeCell ref="AA554:AA555"/>
    <mergeCell ref="AB554:AB555"/>
    <mergeCell ref="AC554:AC555"/>
  </mergeCells>
  <pageMargins left="0.70866141732283472" right="0.70866141732283472" top="0.74803149606299213" bottom="0.74803149606299213" header="0.31496062992125984" footer="0.31496062992125984"/>
  <pageSetup paperSize="9" orientation="landscape" cellComments="asDisplayed"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3">
    <pageSetUpPr fitToPage="1"/>
  </sheetPr>
  <dimension ref="A1:AF551"/>
  <sheetViews>
    <sheetView tabSelected="1" zoomScale="80" zoomScaleNormal="80" workbookViewId="0">
      <pane xSplit="1" ySplit="2" topLeftCell="B3" activePane="bottomRight" state="frozen"/>
      <selection pane="topRight" activeCell="B1" sqref="B1"/>
      <selection pane="bottomLeft" activeCell="A4" sqref="A4"/>
      <selection pane="bottomRight" activeCell="A2" sqref="A2"/>
    </sheetView>
  </sheetViews>
  <sheetFormatPr defaultRowHeight="12.75"/>
  <cols>
    <col min="1" max="1" width="96.28515625" style="391" bestFit="1" customWidth="1"/>
    <col min="2" max="2" width="16.42578125" style="392" bestFit="1" customWidth="1"/>
    <col min="3" max="3" width="47.7109375" style="392" bestFit="1" customWidth="1"/>
    <col min="4" max="4" width="15.140625" style="392" bestFit="1" customWidth="1"/>
    <col min="5" max="5" width="13.42578125" style="392" bestFit="1" customWidth="1"/>
    <col min="6" max="6" width="17" style="392" bestFit="1" customWidth="1"/>
    <col min="7" max="7" width="33.7109375" style="392" bestFit="1" customWidth="1"/>
    <col min="8" max="8" width="24.5703125" style="392" bestFit="1" customWidth="1"/>
    <col min="9" max="9" width="10.5703125" style="392" bestFit="1" customWidth="1"/>
    <col min="10" max="10" width="31" style="613" bestFit="1" customWidth="1"/>
    <col min="11" max="11" width="30.85546875" style="395" bestFit="1" customWidth="1"/>
    <col min="12" max="12" width="41.42578125" style="395" bestFit="1" customWidth="1"/>
    <col min="13" max="13" width="32.28515625" style="395" bestFit="1" customWidth="1"/>
    <col min="14" max="14" width="30.7109375" style="395" bestFit="1" customWidth="1"/>
    <col min="15" max="15" width="29.28515625" style="399" bestFit="1" customWidth="1"/>
    <col min="16" max="16" width="40.140625" style="395" bestFit="1" customWidth="1"/>
    <col min="17" max="17" width="21.140625" style="236" bestFit="1" customWidth="1"/>
    <col min="18" max="18" width="15.85546875" style="613" bestFit="1" customWidth="1"/>
    <col min="19" max="19" width="22.140625" style="613" bestFit="1" customWidth="1"/>
    <col min="20" max="20" width="23.5703125" style="613" bestFit="1" customWidth="1"/>
    <col min="21" max="22" width="15.42578125" style="613" bestFit="1" customWidth="1"/>
    <col min="23" max="23" width="29" style="613" bestFit="1" customWidth="1"/>
    <col min="24" max="24" width="30.28515625" style="613" bestFit="1" customWidth="1"/>
    <col min="25" max="25" width="24.7109375" style="613" bestFit="1" customWidth="1"/>
    <col min="26" max="26" width="30" style="392" bestFit="1" customWidth="1"/>
    <col min="27" max="27" width="20.85546875" style="613" bestFit="1" customWidth="1"/>
    <col min="28" max="31" width="20.85546875" style="613" customWidth="1"/>
    <col min="32" max="32" width="22.140625" style="392" bestFit="1" customWidth="1"/>
    <col min="33" max="16384" width="9.140625" style="391"/>
  </cols>
  <sheetData>
    <row r="1" spans="1:32">
      <c r="A1" s="959" t="s">
        <v>1376</v>
      </c>
      <c r="B1" s="960"/>
      <c r="C1" s="960"/>
      <c r="D1" s="960"/>
      <c r="E1" s="960"/>
      <c r="F1" s="960"/>
      <c r="G1" s="960"/>
      <c r="H1" s="960"/>
      <c r="I1" s="961"/>
      <c r="J1" s="614"/>
      <c r="K1" s="955" t="s">
        <v>24</v>
      </c>
      <c r="L1" s="956"/>
      <c r="M1" s="956"/>
      <c r="N1" s="956"/>
      <c r="O1" s="957"/>
      <c r="P1" s="958"/>
      <c r="Q1" s="952" t="s">
        <v>3</v>
      </c>
      <c r="R1" s="953"/>
      <c r="S1" s="953"/>
      <c r="T1" s="953"/>
      <c r="U1" s="953"/>
      <c r="V1" s="953"/>
      <c r="W1" s="953"/>
      <c r="X1" s="953"/>
      <c r="Y1" s="954"/>
      <c r="Z1" s="615" t="s">
        <v>14</v>
      </c>
      <c r="AA1" s="615"/>
      <c r="AB1" s="615"/>
      <c r="AC1" s="615"/>
      <c r="AD1" s="615"/>
      <c r="AE1" s="615"/>
      <c r="AF1" s="615"/>
    </row>
    <row r="2" spans="1:32" ht="76.5">
      <c r="A2" s="616" t="s">
        <v>20</v>
      </c>
      <c r="B2" s="617" t="s">
        <v>21</v>
      </c>
      <c r="C2" s="617" t="s">
        <v>83</v>
      </c>
      <c r="D2" s="617" t="s">
        <v>7</v>
      </c>
      <c r="E2" s="617" t="s">
        <v>6</v>
      </c>
      <c r="F2" s="617" t="s">
        <v>8</v>
      </c>
      <c r="G2" s="617" t="s">
        <v>9</v>
      </c>
      <c r="H2" s="617" t="s">
        <v>10</v>
      </c>
      <c r="I2" s="618" t="s">
        <v>1</v>
      </c>
      <c r="J2" s="619" t="s">
        <v>22</v>
      </c>
      <c r="K2" s="617" t="s">
        <v>2</v>
      </c>
      <c r="L2" s="617" t="s">
        <v>5</v>
      </c>
      <c r="M2" s="617" t="s">
        <v>19</v>
      </c>
      <c r="N2" s="617" t="s">
        <v>0</v>
      </c>
      <c r="O2" s="617" t="s">
        <v>16</v>
      </c>
      <c r="P2" s="617" t="s">
        <v>17</v>
      </c>
      <c r="Q2" s="620" t="s">
        <v>25</v>
      </c>
      <c r="R2" s="619" t="s">
        <v>26</v>
      </c>
      <c r="S2" s="619" t="s">
        <v>27</v>
      </c>
      <c r="T2" s="619" t="s">
        <v>28</v>
      </c>
      <c r="U2" s="619" t="s">
        <v>29</v>
      </c>
      <c r="V2" s="619" t="s">
        <v>1365</v>
      </c>
      <c r="W2" s="619" t="s">
        <v>1366</v>
      </c>
      <c r="X2" s="619" t="s">
        <v>35</v>
      </c>
      <c r="Y2" s="619" t="s">
        <v>37</v>
      </c>
      <c r="Z2" s="617" t="s">
        <v>18</v>
      </c>
      <c r="AA2" s="619" t="s">
        <v>1367</v>
      </c>
      <c r="AB2" s="619" t="s">
        <v>1479</v>
      </c>
      <c r="AC2" s="619" t="s">
        <v>1480</v>
      </c>
      <c r="AD2" s="619" t="s">
        <v>1481</v>
      </c>
      <c r="AE2" s="619" t="s">
        <v>1482</v>
      </c>
      <c r="AF2" s="618" t="s">
        <v>1375</v>
      </c>
    </row>
    <row r="3" spans="1:32">
      <c r="A3" s="103" t="s">
        <v>75</v>
      </c>
      <c r="B3" s="40" t="s">
        <v>42</v>
      </c>
      <c r="C3" s="40" t="s">
        <v>1377</v>
      </c>
      <c r="D3" s="40" t="s">
        <v>43</v>
      </c>
      <c r="E3" s="40" t="s">
        <v>44</v>
      </c>
      <c r="F3" s="40" t="s">
        <v>1348</v>
      </c>
      <c r="G3" s="40" t="s">
        <v>81</v>
      </c>
      <c r="H3" s="40" t="s">
        <v>45</v>
      </c>
      <c r="I3" s="40" t="s">
        <v>46</v>
      </c>
      <c r="J3" s="41">
        <v>3687865414.3548388</v>
      </c>
      <c r="K3" s="453">
        <v>8.9999999999999993E-3</v>
      </c>
      <c r="L3" s="444"/>
      <c r="M3" s="444"/>
      <c r="N3" s="444">
        <v>1.1000000000000001E-3</v>
      </c>
      <c r="O3" s="454">
        <v>2.5000000000000001E-4</v>
      </c>
      <c r="P3" s="444"/>
      <c r="Q3" s="921">
        <v>103423875</v>
      </c>
      <c r="R3" s="455">
        <v>33238295</v>
      </c>
      <c r="S3" s="672"/>
      <c r="T3" s="41"/>
      <c r="U3" s="41">
        <v>15021081</v>
      </c>
      <c r="V3" s="41">
        <v>5743565</v>
      </c>
      <c r="W3" s="672">
        <v>132918</v>
      </c>
      <c r="X3" s="41"/>
      <c r="Y3" s="672"/>
      <c r="Z3" s="733"/>
      <c r="AA3" s="434">
        <f t="shared" ref="AA3:AA21" si="0">+R3+T3+U3+V3+X3</f>
        <v>54002941</v>
      </c>
      <c r="AB3" s="934">
        <f t="shared" ref="AB3:AB66" si="1">+R3/AA3</f>
        <v>0.61549046004735186</v>
      </c>
      <c r="AC3" s="934">
        <f t="shared" ref="AC3:AC66" si="2">+U3/AA3</f>
        <v>0.2781530176291695</v>
      </c>
      <c r="AD3" s="42">
        <f t="shared" ref="AD3:AD66" si="3">+R3/J3</f>
        <v>9.0128817799645117E-3</v>
      </c>
      <c r="AE3" s="42">
        <f t="shared" ref="AE3:AE66" si="4">+U3/J3</f>
        <v>4.0731098649997273E-3</v>
      </c>
      <c r="AF3" s="720">
        <f t="shared" ref="AF3:AF21" si="5">+(AA3/J3)+Z3</f>
        <v>1.4643414260671268E-2</v>
      </c>
    </row>
    <row r="4" spans="1:32">
      <c r="A4" s="103" t="s">
        <v>76</v>
      </c>
      <c r="B4" s="40" t="s">
        <v>47</v>
      </c>
      <c r="C4" s="40" t="s">
        <v>1377</v>
      </c>
      <c r="D4" s="40" t="s">
        <v>43</v>
      </c>
      <c r="E4" s="40" t="s">
        <v>44</v>
      </c>
      <c r="F4" s="40" t="s">
        <v>1348</v>
      </c>
      <c r="G4" s="40" t="s">
        <v>81</v>
      </c>
      <c r="H4" s="40" t="s">
        <v>45</v>
      </c>
      <c r="I4" s="40" t="s">
        <v>46</v>
      </c>
      <c r="J4" s="41">
        <v>9863676696.532259</v>
      </c>
      <c r="K4" s="453">
        <v>5.0000000000000001E-3</v>
      </c>
      <c r="L4" s="444"/>
      <c r="M4" s="444"/>
      <c r="N4" s="444">
        <v>1.1000000000000001E-3</v>
      </c>
      <c r="O4" s="454">
        <v>2.5000000000000001E-4</v>
      </c>
      <c r="P4" s="444"/>
      <c r="Q4" s="916"/>
      <c r="R4" s="455">
        <v>49288016</v>
      </c>
      <c r="S4" s="672"/>
      <c r="T4" s="41"/>
      <c r="U4" s="41"/>
      <c r="V4" s="41">
        <v>0</v>
      </c>
      <c r="W4" s="672">
        <v>0</v>
      </c>
      <c r="X4" s="41"/>
      <c r="Y4" s="672"/>
      <c r="Z4" s="733"/>
      <c r="AA4" s="434">
        <f t="shared" si="0"/>
        <v>49288016</v>
      </c>
      <c r="AB4" s="935"/>
      <c r="AC4" s="935"/>
      <c r="AD4" s="42">
        <f t="shared" si="3"/>
        <v>4.9969212816279784E-3</v>
      </c>
      <c r="AE4" s="42">
        <f t="shared" si="4"/>
        <v>0</v>
      </c>
      <c r="AF4" s="720">
        <f t="shared" si="5"/>
        <v>4.9969212816279784E-3</v>
      </c>
    </row>
    <row r="5" spans="1:32">
      <c r="A5" s="103" t="s">
        <v>49</v>
      </c>
      <c r="B5" s="40" t="s">
        <v>50</v>
      </c>
      <c r="C5" s="40" t="s">
        <v>1377</v>
      </c>
      <c r="D5" s="40" t="s">
        <v>43</v>
      </c>
      <c r="E5" s="40" t="s">
        <v>44</v>
      </c>
      <c r="F5" s="40" t="s">
        <v>1348</v>
      </c>
      <c r="G5" s="40" t="s">
        <v>48</v>
      </c>
      <c r="H5" s="40" t="s">
        <v>45</v>
      </c>
      <c r="I5" s="40" t="s">
        <v>46</v>
      </c>
      <c r="J5" s="41">
        <v>4834788957.1653223</v>
      </c>
      <c r="K5" s="453">
        <v>1.0999999999999999E-2</v>
      </c>
      <c r="L5" s="444"/>
      <c r="M5" s="444"/>
      <c r="N5" s="444">
        <v>1.1999999999999999E-3</v>
      </c>
      <c r="O5" s="454">
        <v>2.5000000000000001E-4</v>
      </c>
      <c r="P5" s="444"/>
      <c r="Q5" s="921">
        <v>75147788.579999998</v>
      </c>
      <c r="R5" s="455">
        <v>53408886</v>
      </c>
      <c r="S5" s="672"/>
      <c r="T5" s="41"/>
      <c r="U5" s="41">
        <v>7895628</v>
      </c>
      <c r="V5" s="41">
        <v>3624593</v>
      </c>
      <c r="W5" s="672">
        <v>153387.57999999999</v>
      </c>
      <c r="X5" s="41"/>
      <c r="Y5" s="672"/>
      <c r="Z5" s="733"/>
      <c r="AA5" s="434">
        <f t="shared" si="0"/>
        <v>64929107</v>
      </c>
      <c r="AB5" s="934">
        <f t="shared" si="1"/>
        <v>0.82257231721976398</v>
      </c>
      <c r="AC5" s="934">
        <f t="shared" si="2"/>
        <v>0.1216038286188042</v>
      </c>
      <c r="AD5" s="42">
        <f t="shared" si="3"/>
        <v>1.1046787455085543E-2</v>
      </c>
      <c r="AE5" s="42">
        <f t="shared" si="4"/>
        <v>1.6330863808022911E-3</v>
      </c>
      <c r="AF5" s="720">
        <f t="shared" si="5"/>
        <v>1.3429563849684245E-2</v>
      </c>
    </row>
    <row r="6" spans="1:32">
      <c r="A6" s="103" t="s">
        <v>51</v>
      </c>
      <c r="B6" s="40" t="s">
        <v>52</v>
      </c>
      <c r="C6" s="40" t="s">
        <v>1377</v>
      </c>
      <c r="D6" s="40" t="s">
        <v>43</v>
      </c>
      <c r="E6" s="40" t="s">
        <v>44</v>
      </c>
      <c r="F6" s="40" t="s">
        <v>1348</v>
      </c>
      <c r="G6" s="40" t="s">
        <v>48</v>
      </c>
      <c r="H6" s="40" t="s">
        <v>45</v>
      </c>
      <c r="I6" s="40" t="s">
        <v>46</v>
      </c>
      <c r="J6" s="41">
        <v>1676865486.2903225</v>
      </c>
      <c r="K6" s="453">
        <v>6.0000000000000001E-3</v>
      </c>
      <c r="L6" s="444"/>
      <c r="M6" s="444"/>
      <c r="N6" s="444">
        <v>1.1999999999999999E-3</v>
      </c>
      <c r="O6" s="454">
        <v>2.5000000000000001E-4</v>
      </c>
      <c r="P6" s="444"/>
      <c r="Q6" s="916"/>
      <c r="R6" s="41">
        <v>10065294</v>
      </c>
      <c r="S6" s="672"/>
      <c r="T6" s="41"/>
      <c r="U6" s="41"/>
      <c r="V6" s="41">
        <v>0</v>
      </c>
      <c r="W6" s="672">
        <v>0</v>
      </c>
      <c r="X6" s="41"/>
      <c r="Y6" s="672"/>
      <c r="Z6" s="733"/>
      <c r="AA6" s="434">
        <f t="shared" si="0"/>
        <v>10065294</v>
      </c>
      <c r="AB6" s="935">
        <f t="shared" si="1"/>
        <v>1</v>
      </c>
      <c r="AC6" s="935">
        <f t="shared" si="2"/>
        <v>0</v>
      </c>
      <c r="AD6" s="42">
        <f t="shared" si="3"/>
        <v>6.002445683503891E-3</v>
      </c>
      <c r="AE6" s="42">
        <f t="shared" si="4"/>
        <v>0</v>
      </c>
      <c r="AF6" s="720">
        <f t="shared" si="5"/>
        <v>6.002445683503891E-3</v>
      </c>
    </row>
    <row r="7" spans="1:32">
      <c r="A7" s="103" t="s">
        <v>77</v>
      </c>
      <c r="B7" s="40" t="s">
        <v>57</v>
      </c>
      <c r="C7" s="40" t="s">
        <v>1377</v>
      </c>
      <c r="D7" s="40" t="s">
        <v>43</v>
      </c>
      <c r="E7" s="40" t="s">
        <v>44</v>
      </c>
      <c r="F7" s="40" t="s">
        <v>1349</v>
      </c>
      <c r="G7" s="40" t="s">
        <v>58</v>
      </c>
      <c r="H7" s="40" t="s">
        <v>45</v>
      </c>
      <c r="I7" s="40" t="s">
        <v>46</v>
      </c>
      <c r="J7" s="41">
        <v>490018237.625</v>
      </c>
      <c r="K7" s="453">
        <v>1.4E-2</v>
      </c>
      <c r="L7" s="444"/>
      <c r="M7" s="444"/>
      <c r="N7" s="444">
        <v>1.1999999999999999E-3</v>
      </c>
      <c r="O7" s="454">
        <v>2.5000000000000001E-4</v>
      </c>
      <c r="P7" s="444"/>
      <c r="Q7" s="434">
        <v>9539440.0199999996</v>
      </c>
      <c r="R7" s="455">
        <v>6882113</v>
      </c>
      <c r="S7" s="672"/>
      <c r="T7" s="41"/>
      <c r="U7" s="41">
        <v>591348</v>
      </c>
      <c r="V7" s="41">
        <v>1859490</v>
      </c>
      <c r="W7" s="672">
        <v>206489.02</v>
      </c>
      <c r="X7" s="41"/>
      <c r="Y7" s="672"/>
      <c r="Z7" s="733"/>
      <c r="AA7" s="434">
        <f t="shared" si="0"/>
        <v>9332951</v>
      </c>
      <c r="AB7" s="42">
        <f t="shared" si="1"/>
        <v>0.73739945704204379</v>
      </c>
      <c r="AC7" s="42">
        <f t="shared" si="2"/>
        <v>6.3361309836513655E-2</v>
      </c>
      <c r="AD7" s="42">
        <f t="shared" si="3"/>
        <v>1.4044605836215278E-2</v>
      </c>
      <c r="AE7" s="42">
        <f t="shared" si="4"/>
        <v>1.2067877368526544E-3</v>
      </c>
      <c r="AF7" s="720">
        <f t="shared" si="5"/>
        <v>1.904612988535806E-2</v>
      </c>
    </row>
    <row r="8" spans="1:32" ht="12.75" customHeight="1">
      <c r="A8" s="103" t="s">
        <v>59</v>
      </c>
      <c r="B8" s="40" t="s">
        <v>60</v>
      </c>
      <c r="C8" s="40" t="s">
        <v>1377</v>
      </c>
      <c r="D8" s="40" t="s">
        <v>43</v>
      </c>
      <c r="E8" s="40" t="s">
        <v>44</v>
      </c>
      <c r="F8" s="40" t="s">
        <v>55</v>
      </c>
      <c r="G8" s="40" t="s">
        <v>61</v>
      </c>
      <c r="H8" s="40" t="s">
        <v>62</v>
      </c>
      <c r="I8" s="40" t="s">
        <v>46</v>
      </c>
      <c r="J8" s="41">
        <v>85293197.665322587</v>
      </c>
      <c r="K8" s="453">
        <v>1.7500000000000002E-2</v>
      </c>
      <c r="L8" s="444"/>
      <c r="M8" s="444"/>
      <c r="N8" s="444">
        <v>1E-3</v>
      </c>
      <c r="O8" s="454">
        <v>2.5000000000000001E-4</v>
      </c>
      <c r="P8" s="444"/>
      <c r="Q8" s="921">
        <v>11668206.306993</v>
      </c>
      <c r="R8" s="455">
        <v>1512657.8688449999</v>
      </c>
      <c r="S8" s="672"/>
      <c r="T8" s="41"/>
      <c r="U8" s="41">
        <v>787447</v>
      </c>
      <c r="V8" s="41">
        <v>2111385</v>
      </c>
      <c r="W8" s="672">
        <v>482726</v>
      </c>
      <c r="X8" s="41"/>
      <c r="Y8" s="672"/>
      <c r="Z8" s="734">
        <v>3.7000000000000002E-3</v>
      </c>
      <c r="AA8" s="434">
        <f t="shared" si="0"/>
        <v>4411489.8688449999</v>
      </c>
      <c r="AB8" s="934">
        <f t="shared" si="1"/>
        <v>0.34289047777889115</v>
      </c>
      <c r="AC8" s="934">
        <f t="shared" si="2"/>
        <v>0.17849910651753723</v>
      </c>
      <c r="AD8" s="42">
        <f t="shared" si="3"/>
        <v>1.7734800784236476E-2</v>
      </c>
      <c r="AE8" s="42">
        <f t="shared" si="4"/>
        <v>9.232236820218901E-3</v>
      </c>
      <c r="AF8" s="721">
        <f t="shared" si="5"/>
        <v>5.5421473571139974E-2</v>
      </c>
    </row>
    <row r="9" spans="1:32">
      <c r="A9" s="103" t="s">
        <v>63</v>
      </c>
      <c r="B9" s="40" t="s">
        <v>64</v>
      </c>
      <c r="C9" s="40" t="s">
        <v>1377</v>
      </c>
      <c r="D9" s="40" t="s">
        <v>43</v>
      </c>
      <c r="E9" s="40" t="s">
        <v>44</v>
      </c>
      <c r="F9" s="40" t="s">
        <v>55</v>
      </c>
      <c r="G9" s="40" t="s">
        <v>61</v>
      </c>
      <c r="H9" s="40" t="s">
        <v>62</v>
      </c>
      <c r="I9" s="40" t="s">
        <v>46</v>
      </c>
      <c r="J9" s="41">
        <v>675965564.6774193</v>
      </c>
      <c r="K9" s="453">
        <v>0.01</v>
      </c>
      <c r="L9" s="444"/>
      <c r="M9" s="444"/>
      <c r="N9" s="444">
        <v>1E-3</v>
      </c>
      <c r="O9" s="454">
        <v>2.5000000000000001E-4</v>
      </c>
      <c r="P9" s="444"/>
      <c r="Q9" s="916"/>
      <c r="R9" s="41">
        <v>6773990.4381479993</v>
      </c>
      <c r="S9" s="672"/>
      <c r="T9" s="41"/>
      <c r="U9" s="41"/>
      <c r="V9" s="41">
        <v>0</v>
      </c>
      <c r="W9" s="672">
        <v>0</v>
      </c>
      <c r="X9" s="41"/>
      <c r="Y9" s="672"/>
      <c r="Z9" s="734">
        <v>3.7000000000000002E-3</v>
      </c>
      <c r="AA9" s="434">
        <f t="shared" si="0"/>
        <v>6773990.4381479993</v>
      </c>
      <c r="AB9" s="935">
        <f t="shared" si="1"/>
        <v>1</v>
      </c>
      <c r="AC9" s="935">
        <f t="shared" si="2"/>
        <v>0</v>
      </c>
      <c r="AD9" s="42">
        <f t="shared" si="3"/>
        <v>1.0021206392933118E-2</v>
      </c>
      <c r="AE9" s="42">
        <f t="shared" si="4"/>
        <v>0</v>
      </c>
      <c r="AF9" s="721">
        <f t="shared" si="5"/>
        <v>1.3721206392933118E-2</v>
      </c>
    </row>
    <row r="10" spans="1:32">
      <c r="A10" s="103" t="s">
        <v>78</v>
      </c>
      <c r="B10" s="40" t="s">
        <v>72</v>
      </c>
      <c r="C10" s="40" t="s">
        <v>1377</v>
      </c>
      <c r="D10" s="40" t="s">
        <v>43</v>
      </c>
      <c r="E10" s="40" t="s">
        <v>44</v>
      </c>
      <c r="F10" s="40" t="s">
        <v>55</v>
      </c>
      <c r="G10" s="40" t="s">
        <v>58</v>
      </c>
      <c r="H10" s="40" t="s">
        <v>62</v>
      </c>
      <c r="I10" s="40" t="s">
        <v>46</v>
      </c>
      <c r="J10" s="41">
        <v>1355886300.0846775</v>
      </c>
      <c r="K10" s="453">
        <v>1.9199999999999998E-2</v>
      </c>
      <c r="L10" s="444"/>
      <c r="M10" s="444"/>
      <c r="N10" s="444">
        <v>3.2499999999999999E-4</v>
      </c>
      <c r="O10" s="454">
        <v>2.5000000000000001E-4</v>
      </c>
      <c r="P10" s="444"/>
      <c r="Q10" s="434">
        <v>28375811</v>
      </c>
      <c r="R10" s="455">
        <v>26135216</v>
      </c>
      <c r="S10" s="672"/>
      <c r="T10" s="41"/>
      <c r="U10" s="41">
        <v>445753</v>
      </c>
      <c r="V10" s="41">
        <v>1729805</v>
      </c>
      <c r="W10" s="672">
        <v>65037</v>
      </c>
      <c r="X10" s="41"/>
      <c r="Y10" s="672"/>
      <c r="Z10" s="734">
        <v>3.0000000000000001E-3</v>
      </c>
      <c r="AA10" s="434">
        <f t="shared" si="0"/>
        <v>28310774</v>
      </c>
      <c r="AB10" s="42">
        <f t="shared" si="1"/>
        <v>0.92315441464087133</v>
      </c>
      <c r="AC10" s="42">
        <f t="shared" si="2"/>
        <v>1.5744995173922124E-2</v>
      </c>
      <c r="AD10" s="42">
        <f t="shared" si="3"/>
        <v>1.9275374342500408E-2</v>
      </c>
      <c r="AE10" s="42">
        <f t="shared" si="4"/>
        <v>3.2875396703408089E-4</v>
      </c>
      <c r="AF10" s="720">
        <f t="shared" si="5"/>
        <v>2.3879902686701638E-2</v>
      </c>
    </row>
    <row r="11" spans="1:32">
      <c r="A11" s="103" t="s">
        <v>79</v>
      </c>
      <c r="B11" s="40" t="s">
        <v>73</v>
      </c>
      <c r="C11" s="40" t="s">
        <v>1377</v>
      </c>
      <c r="D11" s="40" t="s">
        <v>43</v>
      </c>
      <c r="E11" s="40" t="s">
        <v>44</v>
      </c>
      <c r="F11" s="40" t="s">
        <v>55</v>
      </c>
      <c r="G11" s="40" t="s">
        <v>48</v>
      </c>
      <c r="H11" s="40" t="s">
        <v>62</v>
      </c>
      <c r="I11" s="40" t="s">
        <v>46</v>
      </c>
      <c r="J11" s="41">
        <v>4996471698.9596777</v>
      </c>
      <c r="K11" s="444">
        <v>1.4999999999999999E-2</v>
      </c>
      <c r="L11" s="444"/>
      <c r="M11" s="444"/>
      <c r="N11" s="444">
        <v>3.2499999999999999E-4</v>
      </c>
      <c r="O11" s="454">
        <v>2.5000000000000001E-4</v>
      </c>
      <c r="P11" s="444"/>
      <c r="Q11" s="434">
        <v>81334014.599999994</v>
      </c>
      <c r="R11" s="455">
        <v>75145526</v>
      </c>
      <c r="S11" s="672"/>
      <c r="T11" s="41"/>
      <c r="U11" s="41">
        <v>1634071</v>
      </c>
      <c r="V11" s="41">
        <v>4106403</v>
      </c>
      <c r="W11" s="672">
        <v>448014.6</v>
      </c>
      <c r="X11" s="41"/>
      <c r="Y11" s="672"/>
      <c r="Z11" s="734">
        <v>2E-3</v>
      </c>
      <c r="AA11" s="434">
        <f t="shared" si="0"/>
        <v>80886000</v>
      </c>
      <c r="AB11" s="42">
        <f t="shared" si="1"/>
        <v>0.92903006700788759</v>
      </c>
      <c r="AC11" s="42">
        <f t="shared" si="2"/>
        <v>2.0202148703113022E-2</v>
      </c>
      <c r="AD11" s="42">
        <f t="shared" si="3"/>
        <v>1.5039718130625287E-2</v>
      </c>
      <c r="AE11" s="42">
        <f t="shared" si="4"/>
        <v>3.2704498263048948E-4</v>
      </c>
      <c r="AF11" s="721">
        <f t="shared" si="5"/>
        <v>1.818862366754552E-2</v>
      </c>
    </row>
    <row r="12" spans="1:32">
      <c r="A12" s="103" t="s">
        <v>80</v>
      </c>
      <c r="B12" s="40" t="s">
        <v>74</v>
      </c>
      <c r="C12" s="40" t="s">
        <v>1377</v>
      </c>
      <c r="D12" s="40" t="s">
        <v>43</v>
      </c>
      <c r="E12" s="40" t="s">
        <v>44</v>
      </c>
      <c r="F12" s="40" t="s">
        <v>55</v>
      </c>
      <c r="G12" s="40" t="s">
        <v>48</v>
      </c>
      <c r="H12" s="40" t="s">
        <v>62</v>
      </c>
      <c r="I12" s="40" t="s">
        <v>46</v>
      </c>
      <c r="J12" s="41">
        <v>5300072020.3306456</v>
      </c>
      <c r="K12" s="444">
        <v>1.7500000000000002E-2</v>
      </c>
      <c r="L12" s="444"/>
      <c r="M12" s="444"/>
      <c r="N12" s="444">
        <v>3.2499999999999999E-4</v>
      </c>
      <c r="O12" s="454">
        <v>2.5000000000000001E-4</v>
      </c>
      <c r="P12" s="444"/>
      <c r="Q12" s="434">
        <v>99302211</v>
      </c>
      <c r="R12" s="455">
        <v>92623008</v>
      </c>
      <c r="S12" s="672"/>
      <c r="T12" s="41"/>
      <c r="U12" s="41">
        <v>1728450</v>
      </c>
      <c r="V12" s="41">
        <v>4167007</v>
      </c>
      <c r="W12" s="672">
        <v>783746</v>
      </c>
      <c r="X12" s="41"/>
      <c r="Y12" s="672"/>
      <c r="Z12" s="734">
        <v>1.6000000000000001E-3</v>
      </c>
      <c r="AA12" s="434">
        <f t="shared" si="0"/>
        <v>98518465</v>
      </c>
      <c r="AB12" s="42">
        <f t="shared" si="1"/>
        <v>0.9401588626050964</v>
      </c>
      <c r="AC12" s="42">
        <f t="shared" si="2"/>
        <v>1.7544426823946149E-2</v>
      </c>
      <c r="AD12" s="42">
        <f t="shared" si="3"/>
        <v>1.7475801771127952E-2</v>
      </c>
      <c r="AE12" s="42">
        <f t="shared" si="4"/>
        <v>3.2611820997333741E-4</v>
      </c>
      <c r="AF12" s="721">
        <f t="shared" si="5"/>
        <v>2.018813703324996E-2</v>
      </c>
    </row>
    <row r="13" spans="1:32" ht="25.5">
      <c r="A13" s="457" t="s">
        <v>86</v>
      </c>
      <c r="B13" s="458" t="s">
        <v>87</v>
      </c>
      <c r="C13" s="458" t="s">
        <v>1378</v>
      </c>
      <c r="D13" s="458" t="s">
        <v>43</v>
      </c>
      <c r="E13" s="458" t="s">
        <v>44</v>
      </c>
      <c r="F13" s="458" t="s">
        <v>1348</v>
      </c>
      <c r="G13" s="458" t="s">
        <v>88</v>
      </c>
      <c r="H13" s="458" t="s">
        <v>45</v>
      </c>
      <c r="I13" s="458" t="s">
        <v>46</v>
      </c>
      <c r="J13" s="459">
        <v>185807225</v>
      </c>
      <c r="K13" s="460" t="s">
        <v>89</v>
      </c>
      <c r="L13" s="460" t="s">
        <v>1368</v>
      </c>
      <c r="M13" s="460" t="s">
        <v>91</v>
      </c>
      <c r="N13" s="460">
        <v>2E-3</v>
      </c>
      <c r="O13" s="461">
        <v>1.025E-2</v>
      </c>
      <c r="P13" s="460"/>
      <c r="Q13" s="434">
        <v>11535478</v>
      </c>
      <c r="R13" s="459">
        <v>6000000</v>
      </c>
      <c r="S13" s="672">
        <v>668793</v>
      </c>
      <c r="T13" s="459">
        <v>1559945</v>
      </c>
      <c r="U13" s="459">
        <v>372584</v>
      </c>
      <c r="V13" s="41">
        <v>2723073</v>
      </c>
      <c r="W13" s="672">
        <v>211083</v>
      </c>
      <c r="X13" s="459"/>
      <c r="Y13" s="672"/>
      <c r="Z13" s="458"/>
      <c r="AA13" s="434">
        <f t="shared" si="0"/>
        <v>10655602</v>
      </c>
      <c r="AB13" s="462">
        <f t="shared" si="1"/>
        <v>0.56308409416943317</v>
      </c>
      <c r="AC13" s="462">
        <f t="shared" si="2"/>
        <v>3.4966020690337343E-2</v>
      </c>
      <c r="AD13" s="462">
        <f t="shared" si="3"/>
        <v>3.2291532258769809E-2</v>
      </c>
      <c r="AE13" s="462">
        <f t="shared" si="4"/>
        <v>2.0052180425169149E-3</v>
      </c>
      <c r="AF13" s="721">
        <f t="shared" si="5"/>
        <v>5.7347619286602015E-2</v>
      </c>
    </row>
    <row r="14" spans="1:32" ht="25.5">
      <c r="A14" s="457" t="s">
        <v>93</v>
      </c>
      <c r="B14" s="458" t="s">
        <v>94</v>
      </c>
      <c r="C14" s="458" t="s">
        <v>1378</v>
      </c>
      <c r="D14" s="458" t="s">
        <v>43</v>
      </c>
      <c r="E14" s="458" t="s">
        <v>44</v>
      </c>
      <c r="F14" s="458" t="s">
        <v>1348</v>
      </c>
      <c r="G14" s="458" t="s">
        <v>88</v>
      </c>
      <c r="H14" s="458" t="s">
        <v>45</v>
      </c>
      <c r="I14" s="458" t="s">
        <v>46</v>
      </c>
      <c r="J14" s="459">
        <v>4298010740</v>
      </c>
      <c r="K14" s="460">
        <v>0.01</v>
      </c>
      <c r="L14" s="460" t="s">
        <v>1368</v>
      </c>
      <c r="M14" s="460" t="s">
        <v>91</v>
      </c>
      <c r="N14" s="460">
        <v>2E-3</v>
      </c>
      <c r="O14" s="461">
        <v>5.2500000000000003E-3</v>
      </c>
      <c r="P14" s="460"/>
      <c r="Q14" s="434">
        <v>85857935</v>
      </c>
      <c r="R14" s="459">
        <v>42592910</v>
      </c>
      <c r="S14" s="672"/>
      <c r="T14" s="459">
        <v>21337984</v>
      </c>
      <c r="U14" s="459">
        <v>8489966</v>
      </c>
      <c r="V14" s="41">
        <v>9983120</v>
      </c>
      <c r="W14" s="672">
        <v>3453955</v>
      </c>
      <c r="X14" s="459"/>
      <c r="Y14" s="672"/>
      <c r="Z14" s="458"/>
      <c r="AA14" s="434">
        <f t="shared" si="0"/>
        <v>82403980</v>
      </c>
      <c r="AB14" s="462">
        <f t="shared" si="1"/>
        <v>0.51687928180167997</v>
      </c>
      <c r="AC14" s="462">
        <f t="shared" si="2"/>
        <v>0.10302859158016396</v>
      </c>
      <c r="AD14" s="462">
        <f t="shared" si="3"/>
        <v>9.9099124168312343E-3</v>
      </c>
      <c r="AE14" s="462">
        <f t="shared" si="4"/>
        <v>1.9753245195473848E-3</v>
      </c>
      <c r="AF14" s="721">
        <f t="shared" si="5"/>
        <v>1.9172585873994348E-2</v>
      </c>
    </row>
    <row r="15" spans="1:32" ht="25.5">
      <c r="A15" s="457" t="s">
        <v>95</v>
      </c>
      <c r="B15" s="458" t="s">
        <v>96</v>
      </c>
      <c r="C15" s="458" t="s">
        <v>1378</v>
      </c>
      <c r="D15" s="458" t="s">
        <v>43</v>
      </c>
      <c r="E15" s="458" t="s">
        <v>44</v>
      </c>
      <c r="F15" s="458" t="s">
        <v>1348</v>
      </c>
      <c r="G15" s="458" t="s">
        <v>97</v>
      </c>
      <c r="H15" s="458" t="s">
        <v>62</v>
      </c>
      <c r="I15" s="458" t="s">
        <v>46</v>
      </c>
      <c r="J15" s="459">
        <v>34934715</v>
      </c>
      <c r="K15" s="460">
        <v>1.6500000000000001E-2</v>
      </c>
      <c r="L15" s="460" t="s">
        <v>1368</v>
      </c>
      <c r="M15" s="460" t="s">
        <v>91</v>
      </c>
      <c r="N15" s="460">
        <v>4.0000000000000001E-3</v>
      </c>
      <c r="O15" s="461">
        <v>1.025E-2</v>
      </c>
      <c r="P15" s="460"/>
      <c r="Q15" s="434">
        <v>3295680</v>
      </c>
      <c r="R15" s="459"/>
      <c r="S15" s="672">
        <v>518245</v>
      </c>
      <c r="T15" s="459">
        <v>287231</v>
      </c>
      <c r="U15" s="459">
        <v>139651</v>
      </c>
      <c r="V15" s="41">
        <v>2152188</v>
      </c>
      <c r="W15" s="672">
        <v>198365</v>
      </c>
      <c r="X15" s="459"/>
      <c r="Y15" s="672"/>
      <c r="Z15" s="462">
        <v>3.32E-3</v>
      </c>
      <c r="AA15" s="434">
        <f t="shared" si="0"/>
        <v>2579070</v>
      </c>
      <c r="AB15" s="462">
        <f t="shared" si="1"/>
        <v>0</v>
      </c>
      <c r="AC15" s="462">
        <f t="shared" si="2"/>
        <v>5.4147812971342385E-2</v>
      </c>
      <c r="AD15" s="462">
        <f t="shared" si="3"/>
        <v>0</v>
      </c>
      <c r="AE15" s="462">
        <f t="shared" si="4"/>
        <v>3.9974850231352969E-3</v>
      </c>
      <c r="AF15" s="721">
        <f t="shared" si="5"/>
        <v>7.7145419786593367E-2</v>
      </c>
    </row>
    <row r="16" spans="1:32" ht="25.5">
      <c r="A16" s="457" t="s">
        <v>98</v>
      </c>
      <c r="B16" s="458" t="s">
        <v>99</v>
      </c>
      <c r="C16" s="458" t="s">
        <v>1378</v>
      </c>
      <c r="D16" s="458" t="s">
        <v>43</v>
      </c>
      <c r="E16" s="458" t="s">
        <v>44</v>
      </c>
      <c r="F16" s="458" t="s">
        <v>1348</v>
      </c>
      <c r="G16" s="458" t="s">
        <v>97</v>
      </c>
      <c r="H16" s="458" t="s">
        <v>62</v>
      </c>
      <c r="I16" s="458" t="s">
        <v>46</v>
      </c>
      <c r="J16" s="459">
        <v>30258866</v>
      </c>
      <c r="K16" s="460" t="s">
        <v>100</v>
      </c>
      <c r="L16" s="460" t="s">
        <v>1368</v>
      </c>
      <c r="M16" s="460" t="s">
        <v>101</v>
      </c>
      <c r="N16" s="460">
        <v>2E-3</v>
      </c>
      <c r="O16" s="461">
        <v>1.025E-2</v>
      </c>
      <c r="P16" s="460"/>
      <c r="Q16" s="434">
        <v>3174611</v>
      </c>
      <c r="R16" s="459"/>
      <c r="S16" s="672">
        <v>458071</v>
      </c>
      <c r="T16" s="459">
        <v>283589</v>
      </c>
      <c r="U16" s="459">
        <v>60620</v>
      </c>
      <c r="V16" s="41">
        <v>2236372</v>
      </c>
      <c r="W16" s="672">
        <v>135959</v>
      </c>
      <c r="X16" s="459"/>
      <c r="Y16" s="672"/>
      <c r="Z16" s="462">
        <v>2.0200000000000001E-3</v>
      </c>
      <c r="AA16" s="434">
        <f t="shared" si="0"/>
        <v>2580581</v>
      </c>
      <c r="AB16" s="462">
        <f t="shared" si="1"/>
        <v>0</v>
      </c>
      <c r="AC16" s="462">
        <f t="shared" si="2"/>
        <v>2.3490834040861341E-2</v>
      </c>
      <c r="AD16" s="462">
        <f t="shared" si="3"/>
        <v>0</v>
      </c>
      <c r="AE16" s="462">
        <f t="shared" si="4"/>
        <v>2.0033797697507896E-3</v>
      </c>
      <c r="AF16" s="721">
        <f t="shared" si="5"/>
        <v>8.7303467001043591E-2</v>
      </c>
    </row>
    <row r="17" spans="1:32" ht="25.5">
      <c r="A17" s="457" t="s">
        <v>102</v>
      </c>
      <c r="B17" s="458" t="s">
        <v>103</v>
      </c>
      <c r="C17" s="458" t="s">
        <v>1378</v>
      </c>
      <c r="D17" s="458" t="s">
        <v>43</v>
      </c>
      <c r="E17" s="458" t="s">
        <v>44</v>
      </c>
      <c r="F17" s="458" t="s">
        <v>884</v>
      </c>
      <c r="G17" s="458" t="s">
        <v>97</v>
      </c>
      <c r="H17" s="458" t="s">
        <v>62</v>
      </c>
      <c r="I17" s="458" t="s">
        <v>46</v>
      </c>
      <c r="J17" s="459">
        <v>177054530</v>
      </c>
      <c r="K17" s="460" t="s">
        <v>89</v>
      </c>
      <c r="L17" s="460" t="s">
        <v>1368</v>
      </c>
      <c r="M17" s="460" t="s">
        <v>104</v>
      </c>
      <c r="N17" s="460">
        <v>4.0000000000000001E-3</v>
      </c>
      <c r="O17" s="461">
        <v>1.025E-2</v>
      </c>
      <c r="P17" s="460"/>
      <c r="Q17" s="434">
        <v>20292914</v>
      </c>
      <c r="R17" s="459">
        <v>6000000</v>
      </c>
      <c r="S17" s="672">
        <v>4317962</v>
      </c>
      <c r="T17" s="459">
        <v>1705602</v>
      </c>
      <c r="U17" s="459">
        <v>708583</v>
      </c>
      <c r="V17" s="41">
        <v>4704089</v>
      </c>
      <c r="W17" s="672">
        <v>2856678</v>
      </c>
      <c r="X17" s="459"/>
      <c r="Y17" s="672"/>
      <c r="Z17" s="462">
        <v>2.5200000000000001E-3</v>
      </c>
      <c r="AA17" s="434">
        <f t="shared" si="0"/>
        <v>13118274</v>
      </c>
      <c r="AB17" s="462">
        <f t="shared" si="1"/>
        <v>0.45737724337820662</v>
      </c>
      <c r="AC17" s="462">
        <f t="shared" si="2"/>
        <v>5.4014956540776628E-2</v>
      </c>
      <c r="AD17" s="462">
        <f t="shared" si="3"/>
        <v>3.3887864941947544E-2</v>
      </c>
      <c r="AE17" s="462">
        <f t="shared" si="4"/>
        <v>4.0020608340266698E-3</v>
      </c>
      <c r="AF17" s="721">
        <f t="shared" si="5"/>
        <v>7.6611716263910334E-2</v>
      </c>
    </row>
    <row r="18" spans="1:32" ht="25.5">
      <c r="A18" s="457" t="s">
        <v>105</v>
      </c>
      <c r="B18" s="458" t="s">
        <v>106</v>
      </c>
      <c r="C18" s="458" t="s">
        <v>1378</v>
      </c>
      <c r="D18" s="458" t="s">
        <v>43</v>
      </c>
      <c r="E18" s="458" t="s">
        <v>44</v>
      </c>
      <c r="F18" s="458" t="s">
        <v>884</v>
      </c>
      <c r="G18" s="458" t="s">
        <v>97</v>
      </c>
      <c r="H18" s="458" t="s">
        <v>62</v>
      </c>
      <c r="I18" s="458" t="s">
        <v>46</v>
      </c>
      <c r="J18" s="459">
        <v>298199927</v>
      </c>
      <c r="K18" s="460" t="s">
        <v>107</v>
      </c>
      <c r="L18" s="463" t="s">
        <v>1370</v>
      </c>
      <c r="M18" s="460" t="s">
        <v>108</v>
      </c>
      <c r="N18" s="460">
        <v>2E-3</v>
      </c>
      <c r="O18" s="461">
        <v>2.2499999999999998E-3</v>
      </c>
      <c r="P18" s="460"/>
      <c r="Q18" s="434">
        <v>15322366</v>
      </c>
      <c r="R18" s="459">
        <v>2299124</v>
      </c>
      <c r="S18" s="672"/>
      <c r="T18" s="459">
        <v>631321</v>
      </c>
      <c r="U18" s="459">
        <v>603628</v>
      </c>
      <c r="V18" s="41">
        <v>652193</v>
      </c>
      <c r="W18" s="672">
        <v>11136100</v>
      </c>
      <c r="X18" s="459"/>
      <c r="Y18" s="672"/>
      <c r="Z18" s="458"/>
      <c r="AA18" s="434">
        <f t="shared" si="0"/>
        <v>4186266</v>
      </c>
      <c r="AB18" s="462">
        <f t="shared" si="1"/>
        <v>0.54920638105653108</v>
      </c>
      <c r="AC18" s="462">
        <f t="shared" si="2"/>
        <v>0.14419246173081213</v>
      </c>
      <c r="AD18" s="462">
        <f t="shared" si="3"/>
        <v>7.7100085943347663E-3</v>
      </c>
      <c r="AE18" s="462">
        <f t="shared" si="4"/>
        <v>2.0242392614670222E-3</v>
      </c>
      <c r="AF18" s="721">
        <f t="shared" si="5"/>
        <v>1.4038454140869055E-2</v>
      </c>
    </row>
    <row r="19" spans="1:32" ht="25.5">
      <c r="A19" s="457" t="s">
        <v>109</v>
      </c>
      <c r="B19" s="458" t="s">
        <v>110</v>
      </c>
      <c r="C19" s="458" t="s">
        <v>1378</v>
      </c>
      <c r="D19" s="458" t="s">
        <v>43</v>
      </c>
      <c r="E19" s="458" t="s">
        <v>44</v>
      </c>
      <c r="F19" s="458" t="s">
        <v>884</v>
      </c>
      <c r="G19" s="458" t="s">
        <v>97</v>
      </c>
      <c r="H19" s="458" t="s">
        <v>62</v>
      </c>
      <c r="I19" s="458" t="s">
        <v>69</v>
      </c>
      <c r="J19" s="459">
        <v>200705</v>
      </c>
      <c r="K19" s="460">
        <v>1.4999999999999999E-2</v>
      </c>
      <c r="L19" s="463" t="s">
        <v>1371</v>
      </c>
      <c r="M19" s="460" t="s">
        <v>108</v>
      </c>
      <c r="N19" s="460">
        <v>4.0000000000000001E-3</v>
      </c>
      <c r="O19" s="461">
        <v>1.025E-2</v>
      </c>
      <c r="P19" s="460"/>
      <c r="Q19" s="434">
        <v>10189.540000000001</v>
      </c>
      <c r="R19" s="459"/>
      <c r="S19" s="672"/>
      <c r="T19" s="459">
        <v>1634.22</v>
      </c>
      <c r="U19" s="459">
        <v>865.05</v>
      </c>
      <c r="V19" s="41">
        <v>4936.17</v>
      </c>
      <c r="W19" s="672">
        <v>2754.1000000000004</v>
      </c>
      <c r="X19" s="459"/>
      <c r="Y19" s="672"/>
      <c r="Z19" s="458"/>
      <c r="AA19" s="434">
        <f t="shared" si="0"/>
        <v>7435.4400000000005</v>
      </c>
      <c r="AB19" s="462">
        <f t="shared" si="1"/>
        <v>0</v>
      </c>
      <c r="AC19" s="462">
        <f t="shared" si="2"/>
        <v>0.11634146735095702</v>
      </c>
      <c r="AD19" s="462">
        <f t="shared" si="3"/>
        <v>0</v>
      </c>
      <c r="AE19" s="462">
        <f t="shared" si="4"/>
        <v>4.310057048902618E-3</v>
      </c>
      <c r="AF19" s="721">
        <f t="shared" si="5"/>
        <v>3.7046610697292051E-2</v>
      </c>
    </row>
    <row r="20" spans="1:32" ht="25.5">
      <c r="A20" s="457" t="s">
        <v>111</v>
      </c>
      <c r="B20" s="458" t="s">
        <v>112</v>
      </c>
      <c r="C20" s="458" t="s">
        <v>1378</v>
      </c>
      <c r="D20" s="458" t="s">
        <v>43</v>
      </c>
      <c r="E20" s="458" t="s">
        <v>44</v>
      </c>
      <c r="F20" s="458" t="s">
        <v>884</v>
      </c>
      <c r="G20" s="458" t="s">
        <v>97</v>
      </c>
      <c r="H20" s="458" t="s">
        <v>62</v>
      </c>
      <c r="I20" s="458" t="s">
        <v>46</v>
      </c>
      <c r="J20" s="459">
        <v>23680364</v>
      </c>
      <c r="K20" s="460">
        <v>1.4999999999999999E-2</v>
      </c>
      <c r="L20" s="463" t="s">
        <v>1368</v>
      </c>
      <c r="M20" s="460" t="s">
        <v>113</v>
      </c>
      <c r="N20" s="464">
        <v>1.75E-3</v>
      </c>
      <c r="O20" s="461">
        <v>1.125E-2</v>
      </c>
      <c r="P20" s="460"/>
      <c r="Q20" s="434">
        <v>3355288</v>
      </c>
      <c r="R20" s="459"/>
      <c r="S20" s="672">
        <v>265589</v>
      </c>
      <c r="T20" s="459">
        <v>239834</v>
      </c>
      <c r="U20" s="459">
        <v>271390</v>
      </c>
      <c r="V20" s="41">
        <v>2076352</v>
      </c>
      <c r="W20" s="672">
        <v>502123</v>
      </c>
      <c r="X20" s="459"/>
      <c r="Y20" s="672"/>
      <c r="Z20" s="458"/>
      <c r="AA20" s="434">
        <f t="shared" si="0"/>
        <v>2587576</v>
      </c>
      <c r="AB20" s="462">
        <f t="shared" si="1"/>
        <v>0</v>
      </c>
      <c r="AC20" s="462">
        <f t="shared" si="2"/>
        <v>0.10488194356416972</v>
      </c>
      <c r="AD20" s="462">
        <f t="shared" si="3"/>
        <v>0</v>
      </c>
      <c r="AE20" s="462">
        <f t="shared" si="4"/>
        <v>1.1460550184110345E-2</v>
      </c>
      <c r="AF20" s="721">
        <f t="shared" si="5"/>
        <v>0.10927095546335353</v>
      </c>
    </row>
    <row r="21" spans="1:32" ht="25.5">
      <c r="A21" s="457" t="s">
        <v>114</v>
      </c>
      <c r="B21" s="458" t="s">
        <v>115</v>
      </c>
      <c r="C21" s="458" t="s">
        <v>1378</v>
      </c>
      <c r="D21" s="458" t="s">
        <v>43</v>
      </c>
      <c r="E21" s="458" t="s">
        <v>44</v>
      </c>
      <c r="F21" s="458" t="s">
        <v>132</v>
      </c>
      <c r="G21" s="458" t="s">
        <v>116</v>
      </c>
      <c r="H21" s="458" t="s">
        <v>45</v>
      </c>
      <c r="I21" s="458" t="s">
        <v>46</v>
      </c>
      <c r="J21" s="459">
        <v>516186113</v>
      </c>
      <c r="K21" s="460">
        <v>1.4999999999999999E-2</v>
      </c>
      <c r="L21" s="460" t="s">
        <v>1369</v>
      </c>
      <c r="M21" s="460" t="s">
        <v>118</v>
      </c>
      <c r="N21" s="460">
        <v>1.5E-3</v>
      </c>
      <c r="O21" s="461">
        <v>1.025E-2</v>
      </c>
      <c r="P21" s="460"/>
      <c r="Q21" s="434">
        <v>36297736</v>
      </c>
      <c r="R21" s="459">
        <v>7749759</v>
      </c>
      <c r="S21" s="672"/>
      <c r="T21" s="459">
        <v>4695314</v>
      </c>
      <c r="U21" s="459">
        <v>829638</v>
      </c>
      <c r="V21" s="41">
        <v>8121360</v>
      </c>
      <c r="W21" s="672">
        <v>169076</v>
      </c>
      <c r="X21" s="459"/>
      <c r="Y21" s="672">
        <v>14732589</v>
      </c>
      <c r="Z21" s="458"/>
      <c r="AA21" s="434">
        <f t="shared" si="0"/>
        <v>21396071</v>
      </c>
      <c r="AB21" s="462">
        <f t="shared" si="1"/>
        <v>0.36220477114700173</v>
      </c>
      <c r="AC21" s="462">
        <f t="shared" si="2"/>
        <v>3.8775249904526861E-2</v>
      </c>
      <c r="AD21" s="462">
        <f t="shared" si="3"/>
        <v>1.5013497660678058E-2</v>
      </c>
      <c r="AE21" s="462">
        <f t="shared" si="4"/>
        <v>1.6072458733503356E-3</v>
      </c>
      <c r="AF21" s="721">
        <f t="shared" si="5"/>
        <v>4.1450303410235291E-2</v>
      </c>
    </row>
    <row r="22" spans="1:32">
      <c r="A22" s="684" t="s">
        <v>1405</v>
      </c>
      <c r="B22" s="452" t="s">
        <v>1407</v>
      </c>
      <c r="C22" s="685" t="s">
        <v>1406</v>
      </c>
      <c r="D22" s="452" t="s">
        <v>43</v>
      </c>
      <c r="E22" s="452" t="s">
        <v>44</v>
      </c>
      <c r="F22" s="458" t="s">
        <v>1348</v>
      </c>
      <c r="G22" s="452" t="s">
        <v>365</v>
      </c>
      <c r="H22" s="452" t="s">
        <v>45</v>
      </c>
      <c r="I22" s="452" t="s">
        <v>46</v>
      </c>
      <c r="J22" s="449">
        <v>11771479754</v>
      </c>
      <c r="K22" s="47">
        <v>8.0000000000000002E-3</v>
      </c>
      <c r="L22" s="47">
        <v>0.2</v>
      </c>
      <c r="M22" s="47" t="s">
        <v>108</v>
      </c>
      <c r="N22" s="52">
        <v>8.0000000000000004E-4</v>
      </c>
      <c r="O22" s="686">
        <f>0.06%+0.025%</f>
        <v>8.4999999999999995E-4</v>
      </c>
      <c r="P22" s="47"/>
      <c r="Q22" s="466">
        <v>120492253</v>
      </c>
      <c r="R22" s="700">
        <v>94180403</v>
      </c>
      <c r="S22" s="701"/>
      <c r="T22" s="459">
        <v>7063537</v>
      </c>
      <c r="U22" s="418">
        <v>8363667</v>
      </c>
      <c r="V22" s="710">
        <v>4974044</v>
      </c>
      <c r="W22" s="701">
        <v>468279</v>
      </c>
      <c r="X22" s="710"/>
      <c r="Y22" s="701"/>
      <c r="Z22" s="255"/>
      <c r="AA22" s="466">
        <f t="shared" ref="AA22:AA55" si="6">+R22+T22+U22+V22+X22</f>
        <v>114581651</v>
      </c>
      <c r="AB22" s="423">
        <f t="shared" si="1"/>
        <v>0.82195013056671695</v>
      </c>
      <c r="AC22" s="423">
        <f t="shared" si="2"/>
        <v>7.299307460668375E-2</v>
      </c>
      <c r="AD22" s="423">
        <f t="shared" si="3"/>
        <v>8.0007276033412095E-3</v>
      </c>
      <c r="AE22" s="423">
        <f t="shared" si="4"/>
        <v>7.10502602458114E-4</v>
      </c>
      <c r="AF22" s="720">
        <v>1.0156386240172944E-2</v>
      </c>
    </row>
    <row r="23" spans="1:32">
      <c r="A23" s="687" t="s">
        <v>1408</v>
      </c>
      <c r="B23" s="681" t="s">
        <v>1409</v>
      </c>
      <c r="C23" s="688" t="s">
        <v>1406</v>
      </c>
      <c r="D23" s="681" t="s">
        <v>43</v>
      </c>
      <c r="E23" s="681" t="s">
        <v>44</v>
      </c>
      <c r="F23" s="458" t="s">
        <v>1348</v>
      </c>
      <c r="G23" s="681" t="s">
        <v>48</v>
      </c>
      <c r="H23" s="681" t="s">
        <v>62</v>
      </c>
      <c r="I23" s="681" t="s">
        <v>46</v>
      </c>
      <c r="J23" s="449">
        <v>446798660</v>
      </c>
      <c r="K23" s="689">
        <v>1.4999999999999999E-2</v>
      </c>
      <c r="L23" s="881">
        <v>0.2</v>
      </c>
      <c r="M23" s="881" t="s">
        <v>108</v>
      </c>
      <c r="N23" s="873">
        <v>8.0000000000000004E-4</v>
      </c>
      <c r="O23" s="686">
        <f t="shared" ref="O23:O56" si="7">0.06%+0.025%</f>
        <v>8.4999999999999995E-4</v>
      </c>
      <c r="P23" s="881"/>
      <c r="Q23" s="834">
        <v>13753150.912168998</v>
      </c>
      <c r="R23" s="702">
        <v>6706050.3276999993</v>
      </c>
      <c r="S23" s="703"/>
      <c r="T23" s="704">
        <f>726524/SUM($J$5+$J$6)*$J23</f>
        <v>49850.610544003925</v>
      </c>
      <c r="U23" s="704">
        <f>951444/SUM($J$5+$J$6)*$J23</f>
        <v>65283.547822823857</v>
      </c>
      <c r="V23" s="699">
        <v>262285.50326905557</v>
      </c>
      <c r="W23" s="703">
        <v>160092.94675937443</v>
      </c>
      <c r="X23" s="699"/>
      <c r="Y23" s="703"/>
      <c r="Z23" s="805"/>
      <c r="AA23" s="834">
        <f t="shared" si="6"/>
        <v>7083469.9893358825</v>
      </c>
      <c r="AB23" s="805">
        <f t="shared" si="1"/>
        <v>0.94671825218373395</v>
      </c>
      <c r="AC23" s="805">
        <f t="shared" si="2"/>
        <v>9.2163230621584921E-3</v>
      </c>
      <c r="AD23" s="805">
        <f t="shared" si="3"/>
        <v>1.5009110205702048E-2</v>
      </c>
      <c r="AE23" s="805">
        <f t="shared" si="4"/>
        <v>1.4611401883529341E-4</v>
      </c>
      <c r="AF23" s="720">
        <v>1.7563826526635653E-2</v>
      </c>
    </row>
    <row r="24" spans="1:32">
      <c r="A24" s="687" t="s">
        <v>1410</v>
      </c>
      <c r="B24" s="681" t="s">
        <v>1411</v>
      </c>
      <c r="C24" s="688" t="s">
        <v>1406</v>
      </c>
      <c r="D24" s="681" t="s">
        <v>43</v>
      </c>
      <c r="E24" s="681" t="s">
        <v>44</v>
      </c>
      <c r="F24" s="458" t="s">
        <v>1348</v>
      </c>
      <c r="G24" s="681" t="s">
        <v>48</v>
      </c>
      <c r="H24" s="681" t="s">
        <v>62</v>
      </c>
      <c r="I24" s="681" t="s">
        <v>1412</v>
      </c>
      <c r="J24" s="449">
        <v>768547237.53016007</v>
      </c>
      <c r="K24" s="47">
        <v>4.0000000000000001E-3</v>
      </c>
      <c r="L24" s="892"/>
      <c r="M24" s="892" t="s">
        <v>108</v>
      </c>
      <c r="N24" s="909"/>
      <c r="O24" s="686">
        <f t="shared" si="7"/>
        <v>8.4999999999999995E-4</v>
      </c>
      <c r="P24" s="892"/>
      <c r="Q24" s="835"/>
      <c r="R24" s="671">
        <v>3071292.5844690008</v>
      </c>
      <c r="S24" s="673"/>
      <c r="T24" s="704">
        <f>726524/SUM($J$5+$J$6)*$J24</f>
        <v>85749.024007337197</v>
      </c>
      <c r="U24" s="704">
        <f>951444/SUM($J$5+$J$6)*$J24</f>
        <v>112295.52554029453</v>
      </c>
      <c r="V24" s="699">
        <v>451162.49673094455</v>
      </c>
      <c r="W24" s="703">
        <v>275379.05324062565</v>
      </c>
      <c r="X24" s="699"/>
      <c r="Y24" s="703"/>
      <c r="Z24" s="806"/>
      <c r="AA24" s="835"/>
      <c r="AB24" s="806" t="e">
        <f t="shared" si="1"/>
        <v>#DIV/0!</v>
      </c>
      <c r="AC24" s="806" t="e">
        <f t="shared" si="2"/>
        <v>#DIV/0!</v>
      </c>
      <c r="AD24" s="806">
        <f t="shared" si="3"/>
        <v>3.9962313758866051E-3</v>
      </c>
      <c r="AE24" s="806">
        <f t="shared" si="4"/>
        <v>1.4611401883529341E-4</v>
      </c>
      <c r="AF24" s="720">
        <v>6.5509476968202088E-3</v>
      </c>
    </row>
    <row r="25" spans="1:32">
      <c r="A25" s="687" t="s">
        <v>1413</v>
      </c>
      <c r="B25" s="681" t="s">
        <v>1414</v>
      </c>
      <c r="C25" s="688" t="s">
        <v>1406</v>
      </c>
      <c r="D25" s="681" t="s">
        <v>43</v>
      </c>
      <c r="E25" s="681" t="s">
        <v>44</v>
      </c>
      <c r="F25" s="458" t="s">
        <v>1348</v>
      </c>
      <c r="G25" s="681" t="s">
        <v>48</v>
      </c>
      <c r="H25" s="452" t="s">
        <v>45</v>
      </c>
      <c r="I25" s="681" t="s">
        <v>46</v>
      </c>
      <c r="J25" s="449">
        <v>47002784308</v>
      </c>
      <c r="K25" s="423">
        <v>1.4999999999999999E-2</v>
      </c>
      <c r="L25" s="423">
        <v>0.2</v>
      </c>
      <c r="M25" s="423" t="s">
        <v>108</v>
      </c>
      <c r="N25" s="641">
        <v>3.5E-4</v>
      </c>
      <c r="O25" s="686">
        <f t="shared" si="7"/>
        <v>8.4999999999999995E-4</v>
      </c>
      <c r="P25" s="690"/>
      <c r="Q25" s="466">
        <v>779050539</v>
      </c>
      <c r="R25" s="671">
        <v>706242062</v>
      </c>
      <c r="S25" s="701"/>
      <c r="T25" s="705">
        <v>28249906</v>
      </c>
      <c r="U25" s="705">
        <v>11682395</v>
      </c>
      <c r="V25" s="711">
        <v>16313709</v>
      </c>
      <c r="W25" s="701">
        <v>124379</v>
      </c>
      <c r="X25" s="711"/>
      <c r="Y25" s="701"/>
      <c r="Z25" s="255"/>
      <c r="AA25" s="466">
        <f t="shared" si="6"/>
        <v>762488072</v>
      </c>
      <c r="AB25" s="423">
        <f t="shared" si="1"/>
        <v>0.92623358703505065</v>
      </c>
      <c r="AC25" s="423">
        <f t="shared" si="2"/>
        <v>1.5321413447632267E-2</v>
      </c>
      <c r="AD25" s="423">
        <f t="shared" si="3"/>
        <v>1.5025536729316601E-2</v>
      </c>
      <c r="AE25" s="423">
        <f t="shared" si="4"/>
        <v>2.4854687167993205E-4</v>
      </c>
      <c r="AF25" s="720">
        <v>1.6569269086202747E-2</v>
      </c>
    </row>
    <row r="26" spans="1:32">
      <c r="A26" s="687" t="s">
        <v>1415</v>
      </c>
      <c r="B26" s="681" t="s">
        <v>1416</v>
      </c>
      <c r="C26" s="688" t="s">
        <v>1406</v>
      </c>
      <c r="D26" s="681" t="s">
        <v>43</v>
      </c>
      <c r="E26" s="681" t="s">
        <v>44</v>
      </c>
      <c r="F26" s="458" t="s">
        <v>1348</v>
      </c>
      <c r="G26" s="467" t="s">
        <v>759</v>
      </c>
      <c r="H26" s="681" t="s">
        <v>62</v>
      </c>
      <c r="I26" s="681" t="s">
        <v>46</v>
      </c>
      <c r="J26" s="449">
        <v>1808417928</v>
      </c>
      <c r="K26" s="423">
        <v>1.4999999999999999E-2</v>
      </c>
      <c r="L26" s="423">
        <v>0.2</v>
      </c>
      <c r="M26" s="423" t="s">
        <v>108</v>
      </c>
      <c r="N26" s="641">
        <v>3.5E-4</v>
      </c>
      <c r="O26" s="686">
        <f t="shared" si="7"/>
        <v>8.4999999999999995E-4</v>
      </c>
      <c r="P26" s="690"/>
      <c r="Q26" s="466">
        <v>30940862</v>
      </c>
      <c r="R26" s="671">
        <v>27160969</v>
      </c>
      <c r="S26" s="701"/>
      <c r="T26" s="705">
        <v>1086448</v>
      </c>
      <c r="U26" s="705">
        <v>960441</v>
      </c>
      <c r="V26" s="711">
        <v>862351</v>
      </c>
      <c r="W26" s="701">
        <v>4151</v>
      </c>
      <c r="X26" s="711"/>
      <c r="Y26" s="701"/>
      <c r="Z26" s="255"/>
      <c r="AA26" s="466">
        <f t="shared" si="6"/>
        <v>30070209</v>
      </c>
      <c r="AB26" s="423">
        <f t="shared" si="1"/>
        <v>0.90325175325519025</v>
      </c>
      <c r="AC26" s="423">
        <f t="shared" si="2"/>
        <v>3.1939950932831897E-2</v>
      </c>
      <c r="AD26" s="423">
        <f t="shared" si="3"/>
        <v>1.5019188086704259E-2</v>
      </c>
      <c r="AE26" s="423">
        <f t="shared" si="4"/>
        <v>5.3109460215437548E-4</v>
      </c>
      <c r="AF26" s="720">
        <v>1.7104762964946674E-2</v>
      </c>
    </row>
    <row r="27" spans="1:32">
      <c r="A27" s="687" t="s">
        <v>1417</v>
      </c>
      <c r="B27" s="681" t="s">
        <v>1418</v>
      </c>
      <c r="C27" s="688" t="s">
        <v>1406</v>
      </c>
      <c r="D27" s="681" t="s">
        <v>43</v>
      </c>
      <c r="E27" s="681" t="s">
        <v>44</v>
      </c>
      <c r="F27" s="458" t="s">
        <v>1348</v>
      </c>
      <c r="G27" s="467" t="s">
        <v>81</v>
      </c>
      <c r="H27" s="681" t="s">
        <v>62</v>
      </c>
      <c r="I27" s="681" t="s">
        <v>69</v>
      </c>
      <c r="J27" s="449">
        <v>300720925.9727515</v>
      </c>
      <c r="K27" s="423">
        <v>0.01</v>
      </c>
      <c r="L27" s="423">
        <v>0.2</v>
      </c>
      <c r="M27" s="423" t="s">
        <v>108</v>
      </c>
      <c r="N27" s="448">
        <v>8.0000000000000004E-4</v>
      </c>
      <c r="O27" s="686">
        <f t="shared" si="7"/>
        <v>8.4999999999999995E-4</v>
      </c>
      <c r="P27" s="690"/>
      <c r="Q27" s="466">
        <v>4543187</v>
      </c>
      <c r="R27" s="671">
        <v>3020269</v>
      </c>
      <c r="S27" s="701"/>
      <c r="T27" s="705">
        <v>181796</v>
      </c>
      <c r="U27" s="705">
        <v>186176</v>
      </c>
      <c r="V27" s="711">
        <v>485908</v>
      </c>
      <c r="W27" s="701">
        <v>91565</v>
      </c>
      <c r="X27" s="711"/>
      <c r="Y27" s="701"/>
      <c r="Z27" s="255"/>
      <c r="AA27" s="466">
        <f t="shared" si="6"/>
        <v>3874149</v>
      </c>
      <c r="AB27" s="423">
        <f t="shared" si="1"/>
        <v>0.77959546728842899</v>
      </c>
      <c r="AC27" s="423">
        <f t="shared" si="2"/>
        <v>4.8055973066601206E-2</v>
      </c>
      <c r="AD27" s="423">
        <f t="shared" si="3"/>
        <v>1.0043428106076224E-2</v>
      </c>
      <c r="AE27" s="423">
        <f t="shared" si="4"/>
        <v>6.1909891836682334E-4</v>
      </c>
      <c r="AF27" s="720">
        <v>1.44986817458625E-2</v>
      </c>
    </row>
    <row r="28" spans="1:32">
      <c r="A28" s="687" t="s">
        <v>1419</v>
      </c>
      <c r="B28" s="691" t="s">
        <v>1420</v>
      </c>
      <c r="C28" s="688" t="s">
        <v>1406</v>
      </c>
      <c r="D28" s="681" t="s">
        <v>43</v>
      </c>
      <c r="E28" s="681" t="s">
        <v>44</v>
      </c>
      <c r="F28" s="40" t="s">
        <v>55</v>
      </c>
      <c r="G28" s="467" t="s">
        <v>58</v>
      </c>
      <c r="H28" s="681" t="s">
        <v>62</v>
      </c>
      <c r="I28" s="681" t="s">
        <v>46</v>
      </c>
      <c r="J28" s="449">
        <v>1352145004</v>
      </c>
      <c r="K28" s="904">
        <v>0.02</v>
      </c>
      <c r="L28" s="905">
        <v>0.2</v>
      </c>
      <c r="M28" s="905" t="s">
        <v>108</v>
      </c>
      <c r="N28" s="879">
        <v>6.4999999999999997E-4</v>
      </c>
      <c r="O28" s="686">
        <f t="shared" si="7"/>
        <v>8.4999999999999995E-4</v>
      </c>
      <c r="P28" s="924">
        <v>2.5000000000000001E-2</v>
      </c>
      <c r="Q28" s="834">
        <v>40510061</v>
      </c>
      <c r="R28" s="872">
        <v>27925428</v>
      </c>
      <c r="S28" s="863"/>
      <c r="T28" s="870">
        <v>836541</v>
      </c>
      <c r="U28" s="872">
        <v>1051077</v>
      </c>
      <c r="V28" s="844">
        <v>758193</v>
      </c>
      <c r="W28" s="851">
        <v>3875937</v>
      </c>
      <c r="X28" s="844">
        <v>1428755</v>
      </c>
      <c r="Y28" s="851"/>
      <c r="Z28" s="824">
        <v>2.8999999999999998E-3</v>
      </c>
      <c r="AA28" s="834">
        <f t="shared" si="6"/>
        <v>31999994</v>
      </c>
      <c r="AB28" s="824">
        <f t="shared" si="1"/>
        <v>0.87266978862558542</v>
      </c>
      <c r="AC28" s="824">
        <f t="shared" si="2"/>
        <v>3.2846162408655455E-2</v>
      </c>
      <c r="AD28" s="824">
        <f t="shared" si="3"/>
        <v>2.0652687335595849E-2</v>
      </c>
      <c r="AE28" s="824">
        <f t="shared" si="4"/>
        <v>7.7734044565533887E-4</v>
      </c>
      <c r="AF28" s="804">
        <v>2.540489721919674E-2</v>
      </c>
    </row>
    <row r="29" spans="1:32">
      <c r="A29" s="687" t="s">
        <v>1421</v>
      </c>
      <c r="B29" s="691" t="s">
        <v>1422</v>
      </c>
      <c r="C29" s="688" t="s">
        <v>1406</v>
      </c>
      <c r="D29" s="681" t="s">
        <v>43</v>
      </c>
      <c r="E29" s="681" t="s">
        <v>44</v>
      </c>
      <c r="F29" s="40" t="s">
        <v>55</v>
      </c>
      <c r="G29" s="467" t="s">
        <v>58</v>
      </c>
      <c r="H29" s="681" t="s">
        <v>62</v>
      </c>
      <c r="I29" s="681" t="s">
        <v>69</v>
      </c>
      <c r="J29" s="449">
        <v>39971196.080927543</v>
      </c>
      <c r="K29" s="904"/>
      <c r="L29" s="906"/>
      <c r="M29" s="906"/>
      <c r="N29" s="880"/>
      <c r="O29" s="686">
        <f t="shared" si="7"/>
        <v>8.4999999999999995E-4</v>
      </c>
      <c r="P29" s="925"/>
      <c r="Q29" s="893"/>
      <c r="R29" s="872"/>
      <c r="S29" s="869"/>
      <c r="T29" s="871"/>
      <c r="U29" s="872"/>
      <c r="V29" s="845">
        <v>0</v>
      </c>
      <c r="W29" s="851">
        <v>0</v>
      </c>
      <c r="X29" s="845"/>
      <c r="Y29" s="851"/>
      <c r="Z29" s="824"/>
      <c r="AA29" s="836"/>
      <c r="AB29" s="824" t="e">
        <f t="shared" si="1"/>
        <v>#DIV/0!</v>
      </c>
      <c r="AC29" s="824" t="e">
        <f t="shared" si="2"/>
        <v>#DIV/0!</v>
      </c>
      <c r="AD29" s="824">
        <f t="shared" si="3"/>
        <v>0</v>
      </c>
      <c r="AE29" s="824">
        <f t="shared" si="4"/>
        <v>0</v>
      </c>
      <c r="AF29" s="804"/>
    </row>
    <row r="30" spans="1:32">
      <c r="A30" s="687" t="s">
        <v>1423</v>
      </c>
      <c r="B30" s="681" t="s">
        <v>1424</v>
      </c>
      <c r="C30" s="688" t="s">
        <v>1406</v>
      </c>
      <c r="D30" s="681" t="s">
        <v>43</v>
      </c>
      <c r="E30" s="681" t="s">
        <v>44</v>
      </c>
      <c r="F30" s="681" t="s">
        <v>1348</v>
      </c>
      <c r="G30" s="467" t="s">
        <v>58</v>
      </c>
      <c r="H30" s="681" t="s">
        <v>62</v>
      </c>
      <c r="I30" s="681" t="s">
        <v>69</v>
      </c>
      <c r="J30" s="449">
        <v>487245549.53697145</v>
      </c>
      <c r="K30" s="904">
        <v>2.75E-2</v>
      </c>
      <c r="L30" s="904">
        <v>0.2</v>
      </c>
      <c r="M30" s="904" t="s">
        <v>108</v>
      </c>
      <c r="N30" s="907">
        <v>6.4999999999999997E-4</v>
      </c>
      <c r="O30" s="686">
        <f t="shared" si="7"/>
        <v>8.4999999999999995E-4</v>
      </c>
      <c r="P30" s="926"/>
      <c r="Q30" s="834">
        <v>28964989</v>
      </c>
      <c r="R30" s="872">
        <v>18929480</v>
      </c>
      <c r="S30" s="863"/>
      <c r="T30" s="870">
        <v>413292</v>
      </c>
      <c r="U30" s="872">
        <v>582895</v>
      </c>
      <c r="V30" s="844">
        <v>581755</v>
      </c>
      <c r="W30" s="851">
        <v>3937906</v>
      </c>
      <c r="X30" s="844"/>
      <c r="Y30" s="851"/>
      <c r="Z30" s="824"/>
      <c r="AA30" s="834">
        <f t="shared" si="6"/>
        <v>20507422</v>
      </c>
      <c r="AB30" s="824">
        <f t="shared" si="1"/>
        <v>0.92305507732761338</v>
      </c>
      <c r="AC30" s="824">
        <f t="shared" si="2"/>
        <v>2.8423611705069511E-2</v>
      </c>
      <c r="AD30" s="824">
        <f t="shared" si="3"/>
        <v>3.8849980298411448E-2</v>
      </c>
      <c r="AE30" s="824">
        <f t="shared" si="4"/>
        <v>1.1963064630429647E-3</v>
      </c>
      <c r="AF30" s="804">
        <v>3.0698869933868608E-2</v>
      </c>
    </row>
    <row r="31" spans="1:32">
      <c r="A31" s="687" t="s">
        <v>1425</v>
      </c>
      <c r="B31" s="681" t="s">
        <v>1426</v>
      </c>
      <c r="C31" s="688" t="s">
        <v>1406</v>
      </c>
      <c r="D31" s="681" t="s">
        <v>43</v>
      </c>
      <c r="E31" s="681" t="s">
        <v>44</v>
      </c>
      <c r="F31" s="681" t="s">
        <v>1348</v>
      </c>
      <c r="G31" s="467" t="s">
        <v>58</v>
      </c>
      <c r="H31" s="681" t="s">
        <v>62</v>
      </c>
      <c r="I31" s="681" t="s">
        <v>46</v>
      </c>
      <c r="J31" s="449">
        <v>199723614</v>
      </c>
      <c r="K31" s="904"/>
      <c r="L31" s="904"/>
      <c r="M31" s="904"/>
      <c r="N31" s="907"/>
      <c r="O31" s="686">
        <f t="shared" si="7"/>
        <v>8.4999999999999995E-4</v>
      </c>
      <c r="P31" s="926"/>
      <c r="Q31" s="893"/>
      <c r="R31" s="872"/>
      <c r="S31" s="869"/>
      <c r="T31" s="871"/>
      <c r="U31" s="872"/>
      <c r="V31" s="845">
        <v>0</v>
      </c>
      <c r="W31" s="851">
        <v>0</v>
      </c>
      <c r="X31" s="845"/>
      <c r="Y31" s="851"/>
      <c r="Z31" s="824"/>
      <c r="AA31" s="836"/>
      <c r="AB31" s="824" t="e">
        <f t="shared" si="1"/>
        <v>#DIV/0!</v>
      </c>
      <c r="AC31" s="824" t="e">
        <f t="shared" si="2"/>
        <v>#DIV/0!</v>
      </c>
      <c r="AD31" s="824">
        <f t="shared" si="3"/>
        <v>0</v>
      </c>
      <c r="AE31" s="824">
        <f t="shared" si="4"/>
        <v>0</v>
      </c>
      <c r="AF31" s="804"/>
    </row>
    <row r="32" spans="1:32">
      <c r="A32" s="687" t="s">
        <v>1427</v>
      </c>
      <c r="B32" s="681" t="s">
        <v>1428</v>
      </c>
      <c r="C32" s="688" t="s">
        <v>1406</v>
      </c>
      <c r="D32" s="681" t="s">
        <v>43</v>
      </c>
      <c r="E32" s="681" t="s">
        <v>44</v>
      </c>
      <c r="F32" s="681" t="s">
        <v>1348</v>
      </c>
      <c r="G32" s="467" t="s">
        <v>58</v>
      </c>
      <c r="H32" s="681" t="s">
        <v>62</v>
      </c>
      <c r="I32" s="681" t="s">
        <v>46</v>
      </c>
      <c r="J32" s="449">
        <v>2447439444</v>
      </c>
      <c r="K32" s="873">
        <v>2.5000000000000001E-2</v>
      </c>
      <c r="L32" s="873">
        <v>0.2</v>
      </c>
      <c r="M32" s="873" t="s">
        <v>108</v>
      </c>
      <c r="N32" s="873">
        <v>6.9999999999999999E-4</v>
      </c>
      <c r="O32" s="686">
        <f t="shared" si="7"/>
        <v>8.4999999999999995E-4</v>
      </c>
      <c r="P32" s="873"/>
      <c r="Q32" s="834">
        <v>171007892.9224</v>
      </c>
      <c r="R32" s="870">
        <v>86563505</v>
      </c>
      <c r="S32" s="863"/>
      <c r="T32" s="870">
        <v>2076498</v>
      </c>
      <c r="U32" s="870">
        <v>16028200</v>
      </c>
      <c r="V32" s="844">
        <v>1477601</v>
      </c>
      <c r="W32" s="863">
        <v>6131118</v>
      </c>
      <c r="X32" s="844"/>
      <c r="Y32" s="863"/>
      <c r="Z32" s="854"/>
      <c r="AA32" s="834">
        <f t="shared" si="6"/>
        <v>106145804</v>
      </c>
      <c r="AB32" s="820">
        <f t="shared" si="1"/>
        <v>0.81551509092154029</v>
      </c>
      <c r="AC32" s="820">
        <f t="shared" si="2"/>
        <v>0.15100172965857417</v>
      </c>
      <c r="AD32" s="820">
        <f t="shared" si="3"/>
        <v>3.536900788790262E-2</v>
      </c>
      <c r="AE32" s="820">
        <f t="shared" si="4"/>
        <v>6.5489669373817614E-3</v>
      </c>
      <c r="AF32" s="804">
        <v>3.1094219598571601E-2</v>
      </c>
    </row>
    <row r="33" spans="1:32">
      <c r="A33" s="687" t="s">
        <v>1429</v>
      </c>
      <c r="B33" s="681" t="s">
        <v>1430</v>
      </c>
      <c r="C33" s="688" t="s">
        <v>1406</v>
      </c>
      <c r="D33" s="681" t="s">
        <v>43</v>
      </c>
      <c r="E33" s="681" t="s">
        <v>44</v>
      </c>
      <c r="F33" s="681" t="s">
        <v>1348</v>
      </c>
      <c r="G33" s="467" t="s">
        <v>58</v>
      </c>
      <c r="H33" s="681" t="s">
        <v>62</v>
      </c>
      <c r="I33" s="681" t="s">
        <v>1412</v>
      </c>
      <c r="J33" s="449">
        <v>1013763518.7829601</v>
      </c>
      <c r="K33" s="883"/>
      <c r="L33" s="908"/>
      <c r="M33" s="908"/>
      <c r="N33" s="908"/>
      <c r="O33" s="686">
        <f t="shared" si="7"/>
        <v>8.4999999999999995E-4</v>
      </c>
      <c r="P33" s="908"/>
      <c r="Q33" s="837"/>
      <c r="R33" s="891"/>
      <c r="S33" s="869"/>
      <c r="T33" s="871"/>
      <c r="U33" s="891"/>
      <c r="V33" s="845">
        <v>0</v>
      </c>
      <c r="W33" s="864">
        <v>0</v>
      </c>
      <c r="X33" s="845"/>
      <c r="Y33" s="864"/>
      <c r="Z33" s="855"/>
      <c r="AA33" s="837"/>
      <c r="AB33" s="821" t="e">
        <f t="shared" si="1"/>
        <v>#DIV/0!</v>
      </c>
      <c r="AC33" s="821" t="e">
        <f t="shared" si="2"/>
        <v>#DIV/0!</v>
      </c>
      <c r="AD33" s="821">
        <f t="shared" si="3"/>
        <v>0</v>
      </c>
      <c r="AE33" s="821">
        <f t="shared" si="4"/>
        <v>0</v>
      </c>
      <c r="AF33" s="804"/>
    </row>
    <row r="34" spans="1:32">
      <c r="A34" s="687" t="s">
        <v>1431</v>
      </c>
      <c r="B34" s="681" t="s">
        <v>1432</v>
      </c>
      <c r="C34" s="688" t="s">
        <v>1406</v>
      </c>
      <c r="D34" s="681" t="s">
        <v>43</v>
      </c>
      <c r="E34" s="681" t="s">
        <v>44</v>
      </c>
      <c r="F34" s="681" t="s">
        <v>1348</v>
      </c>
      <c r="G34" s="467" t="s">
        <v>58</v>
      </c>
      <c r="H34" s="681" t="s">
        <v>62</v>
      </c>
      <c r="I34" s="681" t="s">
        <v>46</v>
      </c>
      <c r="J34" s="449">
        <v>2607682871</v>
      </c>
      <c r="K34" s="52">
        <v>8.0000000000000002E-3</v>
      </c>
      <c r="L34" s="909"/>
      <c r="M34" s="909" t="s">
        <v>108</v>
      </c>
      <c r="N34" s="909"/>
      <c r="O34" s="686">
        <f t="shared" si="7"/>
        <v>8.4999999999999995E-4</v>
      </c>
      <c r="P34" s="909"/>
      <c r="Q34" s="914"/>
      <c r="R34" s="702">
        <v>20861703.922399998</v>
      </c>
      <c r="S34" s="703">
        <f>5155531</f>
        <v>5155531</v>
      </c>
      <c r="T34" s="704">
        <v>1564441</v>
      </c>
      <c r="U34" s="704">
        <v>12075704</v>
      </c>
      <c r="V34" s="699">
        <v>1113230</v>
      </c>
      <c r="W34" s="703">
        <v>4619206</v>
      </c>
      <c r="X34" s="699"/>
      <c r="Y34" s="703"/>
      <c r="Z34" s="856"/>
      <c r="AA34" s="838"/>
      <c r="AB34" s="822" t="e">
        <f t="shared" si="1"/>
        <v>#DIV/0!</v>
      </c>
      <c r="AC34" s="822" t="e">
        <f t="shared" si="2"/>
        <v>#DIV/0!</v>
      </c>
      <c r="AD34" s="822">
        <f t="shared" si="3"/>
        <v>8.0000924017267112E-3</v>
      </c>
      <c r="AE34" s="822">
        <f t="shared" si="4"/>
        <v>4.6308177019121896E-3</v>
      </c>
      <c r="AF34" s="720">
        <v>1.4084653211038405E-2</v>
      </c>
    </row>
    <row r="35" spans="1:32" ht="15" customHeight="1">
      <c r="A35" s="687" t="s">
        <v>1433</v>
      </c>
      <c r="B35" s="681" t="s">
        <v>1434</v>
      </c>
      <c r="C35" s="688" t="s">
        <v>1406</v>
      </c>
      <c r="D35" s="681" t="s">
        <v>43</v>
      </c>
      <c r="E35" s="681" t="s">
        <v>44</v>
      </c>
      <c r="F35" s="681" t="s">
        <v>1348</v>
      </c>
      <c r="G35" s="467" t="s">
        <v>58</v>
      </c>
      <c r="H35" s="681" t="s">
        <v>62</v>
      </c>
      <c r="I35" s="681" t="s">
        <v>46</v>
      </c>
      <c r="J35" s="449">
        <v>1922554875</v>
      </c>
      <c r="K35" s="820">
        <v>2.5000000000000001E-2</v>
      </c>
      <c r="L35" s="820">
        <v>0.2</v>
      </c>
      <c r="M35" s="820" t="s">
        <v>108</v>
      </c>
      <c r="N35" s="875" t="s">
        <v>1471</v>
      </c>
      <c r="O35" s="686">
        <f t="shared" si="7"/>
        <v>8.4999999999999995E-4</v>
      </c>
      <c r="P35" s="875"/>
      <c r="Q35" s="834">
        <v>456173911.93279999</v>
      </c>
      <c r="R35" s="884">
        <v>187032780</v>
      </c>
      <c r="S35" s="863"/>
      <c r="T35" s="884">
        <v>4476996</v>
      </c>
      <c r="U35" s="884">
        <v>12286887</v>
      </c>
      <c r="V35" s="846">
        <v>3294914</v>
      </c>
      <c r="W35" s="863">
        <v>108511791</v>
      </c>
      <c r="X35" s="846"/>
      <c r="Y35" s="863"/>
      <c r="Z35" s="857"/>
      <c r="AA35" s="834">
        <f t="shared" si="6"/>
        <v>207091577</v>
      </c>
      <c r="AB35" s="823">
        <f t="shared" si="1"/>
        <v>0.90314044979241237</v>
      </c>
      <c r="AC35" s="823">
        <f t="shared" si="2"/>
        <v>5.9330694072603447E-2</v>
      </c>
      <c r="AD35" s="823">
        <f t="shared" si="3"/>
        <v>9.7283454653017382E-2</v>
      </c>
      <c r="AE35" s="823">
        <f t="shared" si="4"/>
        <v>6.3909161500526742E-3</v>
      </c>
      <c r="AF35" s="825">
        <v>2.8154719834104808E-2</v>
      </c>
    </row>
    <row r="36" spans="1:32" ht="12.75" customHeight="1">
      <c r="A36" s="687" t="s">
        <v>1435</v>
      </c>
      <c r="B36" s="681" t="s">
        <v>1436</v>
      </c>
      <c r="C36" s="688" t="s">
        <v>1406</v>
      </c>
      <c r="D36" s="681" t="s">
        <v>43</v>
      </c>
      <c r="E36" s="681" t="s">
        <v>44</v>
      </c>
      <c r="F36" s="681" t="s">
        <v>1348</v>
      </c>
      <c r="G36" s="467" t="s">
        <v>58</v>
      </c>
      <c r="H36" s="681" t="s">
        <v>62</v>
      </c>
      <c r="I36" s="681" t="s">
        <v>1412</v>
      </c>
      <c r="J36" s="449">
        <v>5422378551.1665001</v>
      </c>
      <c r="K36" s="910"/>
      <c r="L36" s="855"/>
      <c r="M36" s="855"/>
      <c r="N36" s="903"/>
      <c r="O36" s="686">
        <f t="shared" si="7"/>
        <v>8.4999999999999995E-4</v>
      </c>
      <c r="P36" s="903"/>
      <c r="Q36" s="914"/>
      <c r="R36" s="898"/>
      <c r="S36" s="899"/>
      <c r="T36" s="900"/>
      <c r="U36" s="898"/>
      <c r="V36" s="847">
        <v>0</v>
      </c>
      <c r="W36" s="865">
        <v>0</v>
      </c>
      <c r="X36" s="847"/>
      <c r="Y36" s="865"/>
      <c r="Z36" s="856"/>
      <c r="AA36" s="838"/>
      <c r="AB36" s="822" t="e">
        <f t="shared" si="1"/>
        <v>#DIV/0!</v>
      </c>
      <c r="AC36" s="822" t="e">
        <f t="shared" si="2"/>
        <v>#DIV/0!</v>
      </c>
      <c r="AD36" s="822">
        <f t="shared" si="3"/>
        <v>0</v>
      </c>
      <c r="AE36" s="822">
        <f t="shared" si="4"/>
        <v>0</v>
      </c>
      <c r="AF36" s="827"/>
    </row>
    <row r="37" spans="1:32" ht="12.75" customHeight="1">
      <c r="A37" s="687" t="s">
        <v>1437</v>
      </c>
      <c r="B37" s="681" t="s">
        <v>1438</v>
      </c>
      <c r="C37" s="688" t="s">
        <v>1406</v>
      </c>
      <c r="D37" s="681" t="s">
        <v>43</v>
      </c>
      <c r="E37" s="681" t="s">
        <v>44</v>
      </c>
      <c r="F37" s="681" t="s">
        <v>1348</v>
      </c>
      <c r="G37" s="467" t="s">
        <v>58</v>
      </c>
      <c r="H37" s="681" t="s">
        <v>62</v>
      </c>
      <c r="I37" s="681" t="s">
        <v>1439</v>
      </c>
      <c r="J37" s="449">
        <v>127578899.99599999</v>
      </c>
      <c r="K37" s="877"/>
      <c r="L37" s="855"/>
      <c r="M37" s="855"/>
      <c r="N37" s="903"/>
      <c r="O37" s="686">
        <f t="shared" si="7"/>
        <v>8.4999999999999995E-4</v>
      </c>
      <c r="P37" s="903"/>
      <c r="Q37" s="914"/>
      <c r="R37" s="891"/>
      <c r="S37" s="869"/>
      <c r="T37" s="885"/>
      <c r="U37" s="891"/>
      <c r="V37" s="848">
        <v>0</v>
      </c>
      <c r="W37" s="864">
        <v>0</v>
      </c>
      <c r="X37" s="848"/>
      <c r="Y37" s="864"/>
      <c r="Z37" s="856"/>
      <c r="AA37" s="838"/>
      <c r="AB37" s="822" t="e">
        <f t="shared" si="1"/>
        <v>#DIV/0!</v>
      </c>
      <c r="AC37" s="822" t="e">
        <f t="shared" si="2"/>
        <v>#DIV/0!</v>
      </c>
      <c r="AD37" s="822">
        <f t="shared" si="3"/>
        <v>0</v>
      </c>
      <c r="AE37" s="822">
        <f t="shared" si="4"/>
        <v>0</v>
      </c>
      <c r="AF37" s="828"/>
    </row>
    <row r="38" spans="1:32" ht="12.75" customHeight="1">
      <c r="A38" s="687" t="s">
        <v>1440</v>
      </c>
      <c r="B38" s="681" t="s">
        <v>1441</v>
      </c>
      <c r="C38" s="688" t="s">
        <v>1406</v>
      </c>
      <c r="D38" s="681" t="s">
        <v>43</v>
      </c>
      <c r="E38" s="681" t="s">
        <v>44</v>
      </c>
      <c r="F38" s="681" t="s">
        <v>1348</v>
      </c>
      <c r="G38" s="467" t="s">
        <v>58</v>
      </c>
      <c r="H38" s="681" t="s">
        <v>62</v>
      </c>
      <c r="I38" s="681" t="s">
        <v>46</v>
      </c>
      <c r="J38" s="449">
        <v>716094223</v>
      </c>
      <c r="K38" s="448">
        <v>8.0000000000000002E-3</v>
      </c>
      <c r="L38" s="878"/>
      <c r="M38" s="878"/>
      <c r="N38" s="909"/>
      <c r="O38" s="686">
        <f>0.06%+0.025%</f>
        <v>8.4999999999999995E-4</v>
      </c>
      <c r="P38" s="909"/>
      <c r="Q38" s="914"/>
      <c r="R38" s="704">
        <v>5728373.9328000005</v>
      </c>
      <c r="S38" s="703"/>
      <c r="T38" s="704">
        <v>429033</v>
      </c>
      <c r="U38" s="704">
        <v>1177458</v>
      </c>
      <c r="V38" s="699">
        <v>315753</v>
      </c>
      <c r="W38" s="703">
        <v>10398734</v>
      </c>
      <c r="X38" s="699"/>
      <c r="Y38" s="703"/>
      <c r="Z38" s="856"/>
      <c r="AA38" s="838"/>
      <c r="AB38" s="822" t="e">
        <f t="shared" si="1"/>
        <v>#DIV/0!</v>
      </c>
      <c r="AC38" s="822" t="e">
        <f t="shared" si="2"/>
        <v>#DIV/0!</v>
      </c>
      <c r="AD38" s="822">
        <f t="shared" si="3"/>
        <v>7.9994695513693603E-3</v>
      </c>
      <c r="AE38" s="822">
        <f t="shared" si="4"/>
        <v>1.6442780323896009E-3</v>
      </c>
      <c r="AF38" s="720">
        <v>1.1124752409572225E-2</v>
      </c>
    </row>
    <row r="39" spans="1:32" ht="15" customHeight="1">
      <c r="A39" s="687" t="s">
        <v>1442</v>
      </c>
      <c r="B39" s="681" t="s">
        <v>1443</v>
      </c>
      <c r="C39" s="688" t="s">
        <v>1406</v>
      </c>
      <c r="D39" s="681" t="s">
        <v>43</v>
      </c>
      <c r="E39" s="681" t="s">
        <v>44</v>
      </c>
      <c r="F39" s="681" t="s">
        <v>1348</v>
      </c>
      <c r="G39" s="467" t="s">
        <v>58</v>
      </c>
      <c r="H39" s="681" t="s">
        <v>62</v>
      </c>
      <c r="I39" s="681" t="s">
        <v>46</v>
      </c>
      <c r="J39" s="449">
        <v>7719009429</v>
      </c>
      <c r="K39" s="904">
        <v>1.7500000000000002E-2</v>
      </c>
      <c r="L39" s="881">
        <v>0.2</v>
      </c>
      <c r="M39" s="881" t="s">
        <v>108</v>
      </c>
      <c r="N39" s="875" t="s">
        <v>1471</v>
      </c>
      <c r="O39" s="686">
        <f t="shared" si="7"/>
        <v>8.4999999999999995E-4</v>
      </c>
      <c r="P39" s="894"/>
      <c r="Q39" s="834">
        <v>339627180.34170008</v>
      </c>
      <c r="R39" s="887">
        <v>137453308</v>
      </c>
      <c r="S39" s="852">
        <f>89730930-43267441</f>
        <v>46463489</v>
      </c>
      <c r="T39" s="887">
        <f>7805270/SUM($J$21:$J$23)*($J39+$J40)</f>
        <v>4796826.7225682084</v>
      </c>
      <c r="U39" s="887">
        <f>11823137/SUM($J$21:$J$23)*($J39+$J40)</f>
        <v>7266057.3569120495</v>
      </c>
      <c r="V39" s="849">
        <v>3335252.9327955469</v>
      </c>
      <c r="W39" s="852">
        <v>12235204.322137266</v>
      </c>
      <c r="X39" s="849"/>
      <c r="Y39" s="852"/>
      <c r="Z39" s="858"/>
      <c r="AA39" s="834">
        <f t="shared" si="6"/>
        <v>152851445.01227582</v>
      </c>
      <c r="AB39" s="810">
        <f t="shared" si="1"/>
        <v>0.89926076910140329</v>
      </c>
      <c r="AC39" s="810">
        <f t="shared" si="2"/>
        <v>4.7536726632374966E-2</v>
      </c>
      <c r="AD39" s="810">
        <f t="shared" si="3"/>
        <v>1.780711751479323E-2</v>
      </c>
      <c r="AE39" s="810">
        <f t="shared" si="4"/>
        <v>9.4131992242602676E-4</v>
      </c>
      <c r="AF39" s="804">
        <v>1.9929832768408467E-2</v>
      </c>
    </row>
    <row r="40" spans="1:32">
      <c r="A40" s="687" t="s">
        <v>1444</v>
      </c>
      <c r="B40" s="681" t="s">
        <v>1445</v>
      </c>
      <c r="C40" s="688" t="s">
        <v>1406</v>
      </c>
      <c r="D40" s="681" t="s">
        <v>43</v>
      </c>
      <c r="E40" s="681" t="s">
        <v>44</v>
      </c>
      <c r="F40" s="681" t="s">
        <v>1348</v>
      </c>
      <c r="G40" s="467" t="s">
        <v>58</v>
      </c>
      <c r="H40" s="681" t="s">
        <v>62</v>
      </c>
      <c r="I40" s="681" t="s">
        <v>69</v>
      </c>
      <c r="J40" s="449">
        <v>107115707.05685781</v>
      </c>
      <c r="K40" s="904"/>
      <c r="L40" s="911"/>
      <c r="M40" s="911"/>
      <c r="N40" s="903"/>
      <c r="O40" s="686">
        <f t="shared" si="7"/>
        <v>8.4999999999999995E-4</v>
      </c>
      <c r="P40" s="895"/>
      <c r="Q40" s="897">
        <v>0</v>
      </c>
      <c r="R40" s="888"/>
      <c r="S40" s="853"/>
      <c r="T40" s="901"/>
      <c r="U40" s="901"/>
      <c r="V40" s="850">
        <v>0</v>
      </c>
      <c r="W40" s="853">
        <v>0</v>
      </c>
      <c r="X40" s="850"/>
      <c r="Y40" s="853"/>
      <c r="Z40" s="859"/>
      <c r="AA40" s="839"/>
      <c r="AB40" s="811" t="e">
        <f t="shared" si="1"/>
        <v>#DIV/0!</v>
      </c>
      <c r="AC40" s="811" t="e">
        <f t="shared" si="2"/>
        <v>#DIV/0!</v>
      </c>
      <c r="AD40" s="811">
        <f t="shared" si="3"/>
        <v>0</v>
      </c>
      <c r="AE40" s="811">
        <f t="shared" si="4"/>
        <v>0</v>
      </c>
      <c r="AF40" s="804"/>
    </row>
    <row r="41" spans="1:32" ht="12.75" customHeight="1">
      <c r="A41" s="687" t="s">
        <v>1446</v>
      </c>
      <c r="B41" s="681" t="s">
        <v>1447</v>
      </c>
      <c r="C41" s="688" t="s">
        <v>1406</v>
      </c>
      <c r="D41" s="681" t="s">
        <v>43</v>
      </c>
      <c r="E41" s="681" t="s">
        <v>44</v>
      </c>
      <c r="F41" s="681" t="s">
        <v>1348</v>
      </c>
      <c r="G41" s="467" t="s">
        <v>58</v>
      </c>
      <c r="H41" s="681" t="s">
        <v>62</v>
      </c>
      <c r="I41" s="681" t="s">
        <v>46</v>
      </c>
      <c r="J41" s="449">
        <v>5137603637</v>
      </c>
      <c r="K41" s="689">
        <v>8.0000000000000002E-3</v>
      </c>
      <c r="L41" s="892"/>
      <c r="M41" s="892"/>
      <c r="N41" s="909"/>
      <c r="O41" s="686">
        <f t="shared" si="7"/>
        <v>8.4999999999999995E-4</v>
      </c>
      <c r="P41" s="892"/>
      <c r="Q41" s="893"/>
      <c r="R41" s="706">
        <v>41230595.341699995</v>
      </c>
      <c r="S41" s="707">
        <v>43267441</v>
      </c>
      <c r="T41" s="706">
        <f>7805270/SUM($J$21:$J$23)*$J41</f>
        <v>3148965.0353766298</v>
      </c>
      <c r="U41" s="706">
        <f>11823137/SUM($J$21:$J$23)*$J41</f>
        <v>4769936.8531092117</v>
      </c>
      <c r="V41" s="712">
        <v>2189488.0672044531</v>
      </c>
      <c r="W41" s="707">
        <v>8032024.6778627355</v>
      </c>
      <c r="X41" s="712"/>
      <c r="Y41" s="707"/>
      <c r="Z41" s="860"/>
      <c r="AA41" s="836"/>
      <c r="AB41" s="812" t="e">
        <f t="shared" si="1"/>
        <v>#DIV/0!</v>
      </c>
      <c r="AC41" s="812" t="e">
        <f t="shared" si="2"/>
        <v>#DIV/0!</v>
      </c>
      <c r="AD41" s="812">
        <f t="shared" si="3"/>
        <v>8.0252581271091916E-3</v>
      </c>
      <c r="AE41" s="812">
        <f t="shared" si="4"/>
        <v>9.2843613289999151E-4</v>
      </c>
      <c r="AF41" s="720">
        <v>1.0391698334016278E-2</v>
      </c>
    </row>
    <row r="42" spans="1:32">
      <c r="A42" s="687" t="s">
        <v>1448</v>
      </c>
      <c r="B42" s="681" t="s">
        <v>1449</v>
      </c>
      <c r="C42" s="688" t="s">
        <v>1406</v>
      </c>
      <c r="D42" s="681" t="s">
        <v>43</v>
      </c>
      <c r="E42" s="681" t="s">
        <v>44</v>
      </c>
      <c r="F42" s="681" t="s">
        <v>1348</v>
      </c>
      <c r="G42" s="467" t="s">
        <v>58</v>
      </c>
      <c r="H42" s="681" t="s">
        <v>62</v>
      </c>
      <c r="I42" s="681" t="s">
        <v>46</v>
      </c>
      <c r="J42" s="449">
        <v>5122229411</v>
      </c>
      <c r="K42" s="873">
        <v>1.7500000000000002E-2</v>
      </c>
      <c r="L42" s="873">
        <v>0.2</v>
      </c>
      <c r="M42" s="873" t="s">
        <v>108</v>
      </c>
      <c r="N42" s="875">
        <v>4.0000000000000002E-4</v>
      </c>
      <c r="O42" s="686">
        <f t="shared" si="7"/>
        <v>8.4999999999999995E-4</v>
      </c>
      <c r="P42" s="912"/>
      <c r="Q42" s="834">
        <v>127423274.04016478</v>
      </c>
      <c r="R42" s="886">
        <v>90038902</v>
      </c>
      <c r="S42" s="863"/>
      <c r="T42" s="884">
        <v>2900564.4644434364</v>
      </c>
      <c r="U42" s="886">
        <v>3349367.6389761949</v>
      </c>
      <c r="V42" s="846">
        <v>2051742.0320078803</v>
      </c>
      <c r="W42" s="851">
        <v>13515477.936364695</v>
      </c>
      <c r="X42" s="846"/>
      <c r="Y42" s="851"/>
      <c r="Z42" s="813">
        <v>4.0000000000000002E-4</v>
      </c>
      <c r="AA42" s="834">
        <f t="shared" si="6"/>
        <v>98340576.135427505</v>
      </c>
      <c r="AB42" s="813">
        <f t="shared" si="1"/>
        <v>0.91558241306218258</v>
      </c>
      <c r="AC42" s="813">
        <f t="shared" si="2"/>
        <v>3.4058857194040525E-2</v>
      </c>
      <c r="AD42" s="813">
        <f t="shared" si="3"/>
        <v>1.7578068996019828E-2</v>
      </c>
      <c r="AE42" s="813">
        <f t="shared" si="4"/>
        <v>6.5388864305519388E-4</v>
      </c>
      <c r="AF42" s="804">
        <v>1.9948835008549517E-2</v>
      </c>
    </row>
    <row r="43" spans="1:32">
      <c r="A43" s="687" t="s">
        <v>1450</v>
      </c>
      <c r="B43" s="452" t="s">
        <v>1451</v>
      </c>
      <c r="C43" s="688" t="s">
        <v>1406</v>
      </c>
      <c r="D43" s="681" t="s">
        <v>43</v>
      </c>
      <c r="E43" s="681" t="s">
        <v>44</v>
      </c>
      <c r="F43" s="452" t="s">
        <v>1348</v>
      </c>
      <c r="G43" s="467" t="s">
        <v>58</v>
      </c>
      <c r="H43" s="452" t="s">
        <v>62</v>
      </c>
      <c r="I43" s="452" t="s">
        <v>69</v>
      </c>
      <c r="J43" s="449">
        <v>13233552.574538847</v>
      </c>
      <c r="K43" s="874"/>
      <c r="L43" s="874"/>
      <c r="M43" s="874"/>
      <c r="N43" s="876"/>
      <c r="O43" s="686">
        <f t="shared" si="7"/>
        <v>8.4999999999999995E-4</v>
      </c>
      <c r="P43" s="913"/>
      <c r="Q43" s="914"/>
      <c r="R43" s="886"/>
      <c r="S43" s="869"/>
      <c r="T43" s="885"/>
      <c r="U43" s="886"/>
      <c r="V43" s="848">
        <v>0</v>
      </c>
      <c r="W43" s="851">
        <v>0</v>
      </c>
      <c r="X43" s="848"/>
      <c r="Y43" s="851"/>
      <c r="Z43" s="814"/>
      <c r="AA43" s="838"/>
      <c r="AB43" s="814" t="e">
        <f t="shared" si="1"/>
        <v>#DIV/0!</v>
      </c>
      <c r="AC43" s="814" t="e">
        <f t="shared" si="2"/>
        <v>#DIV/0!</v>
      </c>
      <c r="AD43" s="814">
        <f t="shared" si="3"/>
        <v>0</v>
      </c>
      <c r="AE43" s="814">
        <f t="shared" si="4"/>
        <v>0</v>
      </c>
      <c r="AF43" s="804"/>
    </row>
    <row r="44" spans="1:32" ht="25.5">
      <c r="A44" s="687" t="s">
        <v>1473</v>
      </c>
      <c r="B44" s="51" t="s">
        <v>431</v>
      </c>
      <c r="C44" s="688" t="s">
        <v>1406</v>
      </c>
      <c r="D44" s="681" t="s">
        <v>43</v>
      </c>
      <c r="E44" s="681" t="s">
        <v>44</v>
      </c>
      <c r="F44" s="458" t="s">
        <v>884</v>
      </c>
      <c r="G44" s="467" t="s">
        <v>97</v>
      </c>
      <c r="H44" s="452" t="s">
        <v>62</v>
      </c>
      <c r="I44" s="452" t="s">
        <v>46</v>
      </c>
      <c r="J44" s="449">
        <v>8474748988</v>
      </c>
      <c r="K44" s="820">
        <v>0.02</v>
      </c>
      <c r="L44" s="820">
        <v>0.2</v>
      </c>
      <c r="M44" s="820" t="s">
        <v>108</v>
      </c>
      <c r="N44" s="879">
        <v>6.4999999999999997E-4</v>
      </c>
      <c r="O44" s="686">
        <f t="shared" si="7"/>
        <v>8.4999999999999995E-4</v>
      </c>
      <c r="P44" s="879"/>
      <c r="Q44" s="834">
        <v>678643078</v>
      </c>
      <c r="R44" s="886">
        <v>300057600</v>
      </c>
      <c r="S44" s="863">
        <f>145203770-672377</f>
        <v>144531393</v>
      </c>
      <c r="T44" s="886">
        <v>8981571</v>
      </c>
      <c r="U44" s="886">
        <v>12320088</v>
      </c>
      <c r="V44" s="846">
        <v>7695896</v>
      </c>
      <c r="W44" s="851">
        <v>98680317</v>
      </c>
      <c r="X44" s="846"/>
      <c r="Y44" s="851"/>
      <c r="Z44" s="813"/>
      <c r="AA44" s="834">
        <f t="shared" si="6"/>
        <v>329055155</v>
      </c>
      <c r="AB44" s="813">
        <f t="shared" si="1"/>
        <v>0.91187630839577638</v>
      </c>
      <c r="AC44" s="813">
        <f t="shared" si="2"/>
        <v>3.7440799248381326E-2</v>
      </c>
      <c r="AD44" s="813">
        <f t="shared" si="3"/>
        <v>3.5406075203510204E-2</v>
      </c>
      <c r="AE44" s="813">
        <f t="shared" si="4"/>
        <v>1.4537407559144099E-3</v>
      </c>
      <c r="AF44" s="804">
        <v>2.248746290991117E-2</v>
      </c>
    </row>
    <row r="45" spans="1:32" ht="25.5">
      <c r="A45" s="687" t="s">
        <v>1474</v>
      </c>
      <c r="B45" s="51" t="s">
        <v>1452</v>
      </c>
      <c r="C45" s="688" t="s">
        <v>1406</v>
      </c>
      <c r="D45" s="681" t="s">
        <v>43</v>
      </c>
      <c r="E45" s="681" t="s">
        <v>44</v>
      </c>
      <c r="F45" s="458" t="s">
        <v>884</v>
      </c>
      <c r="G45" s="467" t="s">
        <v>97</v>
      </c>
      <c r="H45" s="452" t="s">
        <v>62</v>
      </c>
      <c r="I45" s="452" t="s">
        <v>1412</v>
      </c>
      <c r="J45" s="449">
        <v>6500308551.7983055</v>
      </c>
      <c r="K45" s="877"/>
      <c r="L45" s="878"/>
      <c r="M45" s="878"/>
      <c r="N45" s="880"/>
      <c r="O45" s="686">
        <f t="shared" si="7"/>
        <v>8.4999999999999995E-4</v>
      </c>
      <c r="P45" s="880"/>
      <c r="Q45" s="914"/>
      <c r="R45" s="886"/>
      <c r="S45" s="869"/>
      <c r="T45" s="886"/>
      <c r="U45" s="886"/>
      <c r="V45" s="848">
        <v>0</v>
      </c>
      <c r="W45" s="851">
        <v>0</v>
      </c>
      <c r="X45" s="848"/>
      <c r="Y45" s="851"/>
      <c r="Z45" s="814"/>
      <c r="AA45" s="838"/>
      <c r="AB45" s="814" t="e">
        <f t="shared" si="1"/>
        <v>#DIV/0!</v>
      </c>
      <c r="AC45" s="814" t="e">
        <f t="shared" si="2"/>
        <v>#DIV/0!</v>
      </c>
      <c r="AD45" s="814">
        <f t="shared" si="3"/>
        <v>0</v>
      </c>
      <c r="AE45" s="814">
        <f t="shared" si="4"/>
        <v>0</v>
      </c>
      <c r="AF45" s="804"/>
    </row>
    <row r="46" spans="1:32" ht="25.5">
      <c r="A46" s="687" t="s">
        <v>1475</v>
      </c>
      <c r="B46" s="692" t="s">
        <v>1453</v>
      </c>
      <c r="C46" s="688" t="s">
        <v>1406</v>
      </c>
      <c r="D46" s="681" t="s">
        <v>43</v>
      </c>
      <c r="E46" s="681" t="s">
        <v>44</v>
      </c>
      <c r="F46" s="467" t="s">
        <v>1348</v>
      </c>
      <c r="G46" s="467" t="s">
        <v>622</v>
      </c>
      <c r="H46" s="452" t="s">
        <v>62</v>
      </c>
      <c r="I46" s="452" t="s">
        <v>46</v>
      </c>
      <c r="J46" s="449">
        <v>1219622522</v>
      </c>
      <c r="K46" s="423">
        <v>5.0000000000000001E-3</v>
      </c>
      <c r="L46" s="423">
        <v>0.2</v>
      </c>
      <c r="M46" s="423" t="s">
        <v>108</v>
      </c>
      <c r="N46" s="448">
        <v>8.9999999999999998E-4</v>
      </c>
      <c r="O46" s="686">
        <f t="shared" si="7"/>
        <v>8.4999999999999995E-4</v>
      </c>
      <c r="P46" s="423"/>
      <c r="Q46" s="466">
        <v>20913619</v>
      </c>
      <c r="R46" s="455">
        <v>12183918</v>
      </c>
      <c r="S46" s="701">
        <v>977492</v>
      </c>
      <c r="T46" s="418">
        <v>731068</v>
      </c>
      <c r="U46" s="418">
        <v>865937</v>
      </c>
      <c r="V46" s="710">
        <v>714525</v>
      </c>
      <c r="W46" s="701">
        <v>2363077</v>
      </c>
      <c r="X46" s="710"/>
      <c r="Y46" s="701"/>
      <c r="Z46" s="735"/>
      <c r="AA46" s="466">
        <f t="shared" si="6"/>
        <v>14495448</v>
      </c>
      <c r="AB46" s="448">
        <f t="shared" si="1"/>
        <v>0.8405340766287458</v>
      </c>
      <c r="AC46" s="448">
        <f t="shared" si="2"/>
        <v>5.9738546887271093E-2</v>
      </c>
      <c r="AD46" s="448">
        <f t="shared" si="3"/>
        <v>9.9899089925136689E-3</v>
      </c>
      <c r="AE46" s="448">
        <f t="shared" si="4"/>
        <v>7.1000410732001884E-4</v>
      </c>
      <c r="AF46" s="720">
        <v>1.2471049628583359E-2</v>
      </c>
    </row>
    <row r="47" spans="1:32">
      <c r="A47" s="687" t="s">
        <v>1454</v>
      </c>
      <c r="B47" s="693" t="s">
        <v>1455</v>
      </c>
      <c r="C47" s="688" t="s">
        <v>1406</v>
      </c>
      <c r="D47" s="681" t="s">
        <v>43</v>
      </c>
      <c r="E47" s="681" t="s">
        <v>44</v>
      </c>
      <c r="F47" s="458" t="s">
        <v>884</v>
      </c>
      <c r="G47" s="467" t="s">
        <v>884</v>
      </c>
      <c r="H47" s="452" t="s">
        <v>62</v>
      </c>
      <c r="I47" s="452" t="s">
        <v>1412</v>
      </c>
      <c r="J47" s="449">
        <v>632369899.56382</v>
      </c>
      <c r="K47" s="423">
        <v>3.5000000000000003E-2</v>
      </c>
      <c r="L47" s="423">
        <v>0.2</v>
      </c>
      <c r="M47" s="423" t="s">
        <v>108</v>
      </c>
      <c r="N47" s="694">
        <v>2E-3</v>
      </c>
      <c r="O47" s="686">
        <f t="shared" si="7"/>
        <v>8.4999999999999995E-4</v>
      </c>
      <c r="P47" s="690"/>
      <c r="Q47" s="683">
        <v>27445403</v>
      </c>
      <c r="R47" s="455">
        <v>22228724</v>
      </c>
      <c r="S47" s="701"/>
      <c r="T47" s="418">
        <v>382222</v>
      </c>
      <c r="U47" s="418">
        <v>1121995</v>
      </c>
      <c r="V47" s="710">
        <v>1605428</v>
      </c>
      <c r="W47" s="701">
        <v>250803</v>
      </c>
      <c r="X47" s="710"/>
      <c r="Y47" s="701"/>
      <c r="Z47" s="735"/>
      <c r="AA47" s="683">
        <f t="shared" si="6"/>
        <v>25338369</v>
      </c>
      <c r="AB47" s="448">
        <f t="shared" si="1"/>
        <v>0.87727525003681173</v>
      </c>
      <c r="AC47" s="448">
        <f t="shared" si="2"/>
        <v>4.4280474406225595E-2</v>
      </c>
      <c r="AD47" s="448">
        <f t="shared" si="3"/>
        <v>3.5151458055376075E-2</v>
      </c>
      <c r="AE47" s="448">
        <f t="shared" si="4"/>
        <v>1.7742700921943013E-3</v>
      </c>
      <c r="AF47" s="720">
        <v>4.096857554078661E-2</v>
      </c>
    </row>
    <row r="48" spans="1:32" ht="25.5">
      <c r="A48" s="687" t="s">
        <v>1476</v>
      </c>
      <c r="B48" s="51" t="s">
        <v>1456</v>
      </c>
      <c r="C48" s="688" t="s">
        <v>1406</v>
      </c>
      <c r="D48" s="681" t="s">
        <v>43</v>
      </c>
      <c r="E48" s="681" t="s">
        <v>44</v>
      </c>
      <c r="F48" s="681" t="s">
        <v>1348</v>
      </c>
      <c r="G48" s="467" t="s">
        <v>97</v>
      </c>
      <c r="H48" s="452" t="s">
        <v>62</v>
      </c>
      <c r="I48" s="452" t="s">
        <v>46</v>
      </c>
      <c r="J48" s="449">
        <v>20498101142</v>
      </c>
      <c r="K48" s="448">
        <v>0.02</v>
      </c>
      <c r="L48" s="448">
        <v>0.2</v>
      </c>
      <c r="M48" s="448" t="s">
        <v>108</v>
      </c>
      <c r="N48" s="641">
        <v>6.4999999999999997E-4</v>
      </c>
      <c r="O48" s="686">
        <f t="shared" si="7"/>
        <v>8.4999999999999995E-4</v>
      </c>
      <c r="P48" s="641"/>
      <c r="Q48" s="683">
        <v>554901848.42176545</v>
      </c>
      <c r="R48" s="593">
        <v>410096091</v>
      </c>
      <c r="S48" s="673">
        <v>51431363</v>
      </c>
      <c r="T48" s="593">
        <v>11649147.667502094</v>
      </c>
      <c r="U48" s="593">
        <v>16440244.314945264</v>
      </c>
      <c r="V48" s="713">
        <v>8322639.3176512681</v>
      </c>
      <c r="W48" s="673">
        <v>24319861.902007751</v>
      </c>
      <c r="X48" s="713"/>
      <c r="Y48" s="673"/>
      <c r="Z48" s="736"/>
      <c r="AA48" s="683">
        <f t="shared" si="6"/>
        <v>446508122.30009866</v>
      </c>
      <c r="AB48" s="717">
        <f t="shared" si="1"/>
        <v>0.91845158132280047</v>
      </c>
      <c r="AC48" s="717">
        <f t="shared" si="2"/>
        <v>3.6819586237886517E-2</v>
      </c>
      <c r="AD48" s="717">
        <f t="shared" si="3"/>
        <v>2.0006540516073722E-2</v>
      </c>
      <c r="AE48" s="717">
        <f t="shared" si="4"/>
        <v>8.0203742781128598E-4</v>
      </c>
      <c r="AF48" s="720">
        <v>2.2188921718500804E-2</v>
      </c>
    </row>
    <row r="49" spans="1:32">
      <c r="A49" s="687" t="s">
        <v>1457</v>
      </c>
      <c r="B49" s="452" t="s">
        <v>1458</v>
      </c>
      <c r="C49" s="688" t="s">
        <v>1406</v>
      </c>
      <c r="D49" s="681" t="s">
        <v>43</v>
      </c>
      <c r="E49" s="681" t="s">
        <v>44</v>
      </c>
      <c r="F49" s="40" t="s">
        <v>55</v>
      </c>
      <c r="G49" s="467" t="s">
        <v>97</v>
      </c>
      <c r="H49" s="452" t="s">
        <v>62</v>
      </c>
      <c r="I49" s="452" t="s">
        <v>46</v>
      </c>
      <c r="J49" s="449">
        <v>2861019322</v>
      </c>
      <c r="K49" s="423">
        <v>0</v>
      </c>
      <c r="L49" s="423">
        <v>0</v>
      </c>
      <c r="M49" s="423" t="s">
        <v>122</v>
      </c>
      <c r="N49" s="448">
        <v>5.0000000000000001E-4</v>
      </c>
      <c r="O49" s="686">
        <f t="shared" si="7"/>
        <v>8.4999999999999995E-4</v>
      </c>
      <c r="P49" s="695">
        <v>0.02</v>
      </c>
      <c r="Q49" s="466">
        <v>15046861</v>
      </c>
      <c r="R49" s="455"/>
      <c r="S49" s="701">
        <v>8621176</v>
      </c>
      <c r="T49" s="418">
        <v>1715482</v>
      </c>
      <c r="U49" s="418">
        <v>1975555</v>
      </c>
      <c r="V49" s="710">
        <v>1196203</v>
      </c>
      <c r="W49" s="701">
        <v>171121</v>
      </c>
      <c r="X49" s="710"/>
      <c r="Y49" s="701"/>
      <c r="Z49" s="728">
        <v>1.46E-2</v>
      </c>
      <c r="AA49" s="466">
        <f t="shared" si="6"/>
        <v>4887240</v>
      </c>
      <c r="AB49" s="596">
        <f t="shared" si="1"/>
        <v>0</v>
      </c>
      <c r="AC49" s="596">
        <f t="shared" si="2"/>
        <v>0.40422713024119955</v>
      </c>
      <c r="AD49" s="596">
        <f t="shared" si="3"/>
        <v>0</v>
      </c>
      <c r="AE49" s="596">
        <f t="shared" si="4"/>
        <v>6.9050739532195305E-4</v>
      </c>
      <c r="AF49" s="720">
        <v>1.6726320138148301E-2</v>
      </c>
    </row>
    <row r="50" spans="1:32" ht="25.5">
      <c r="A50" s="687" t="s">
        <v>1477</v>
      </c>
      <c r="B50" s="681" t="s">
        <v>1459</v>
      </c>
      <c r="C50" s="688" t="s">
        <v>1406</v>
      </c>
      <c r="D50" s="681" t="s">
        <v>43</v>
      </c>
      <c r="E50" s="681" t="s">
        <v>44</v>
      </c>
      <c r="F50" s="681" t="s">
        <v>1348</v>
      </c>
      <c r="G50" s="467" t="s">
        <v>81</v>
      </c>
      <c r="H50" s="681" t="s">
        <v>62</v>
      </c>
      <c r="I50" s="681" t="s">
        <v>1412</v>
      </c>
      <c r="J50" s="449">
        <v>361971396.34722</v>
      </c>
      <c r="K50" s="47">
        <v>8.0000000000000002E-3</v>
      </c>
      <c r="L50" s="881">
        <v>0</v>
      </c>
      <c r="M50" s="881" t="s">
        <v>122</v>
      </c>
      <c r="N50" s="873">
        <v>6.9999999999999999E-4</v>
      </c>
      <c r="O50" s="686">
        <f t="shared" si="7"/>
        <v>8.4999999999999995E-4</v>
      </c>
      <c r="P50" s="881"/>
      <c r="Q50" s="834">
        <v>6497688.6654639989</v>
      </c>
      <c r="R50" s="593">
        <v>1807218.7600919979</v>
      </c>
      <c r="S50" s="673"/>
      <c r="T50" s="593">
        <f>444172/SUM($J$32:$J$33)*$J50</f>
        <v>46451.352546244547</v>
      </c>
      <c r="U50" s="593">
        <f>467821/SUM($J$32:$J$33)*$J50</f>
        <v>48924.556702215967</v>
      </c>
      <c r="V50" s="713">
        <v>435577.30619659461</v>
      </c>
      <c r="W50" s="703">
        <v>214497.71475214226</v>
      </c>
      <c r="X50" s="713"/>
      <c r="Y50" s="703"/>
      <c r="Z50" s="805"/>
      <c r="AA50" s="834">
        <f t="shared" si="6"/>
        <v>2338171.9755370533</v>
      </c>
      <c r="AB50" s="805">
        <f t="shared" si="1"/>
        <v>0.77291951960757677</v>
      </c>
      <c r="AC50" s="805">
        <f t="shared" si="2"/>
        <v>2.0924276406562657E-2</v>
      </c>
      <c r="AD50" s="805">
        <f t="shared" si="3"/>
        <v>4.9927115190019841E-3</v>
      </c>
      <c r="AE50" s="805">
        <f t="shared" si="4"/>
        <v>1.3516138898247426E-4</v>
      </c>
      <c r="AF50" s="720">
        <v>8.2367302654823091E-3</v>
      </c>
    </row>
    <row r="51" spans="1:32" ht="25.5">
      <c r="A51" s="687" t="s">
        <v>1478</v>
      </c>
      <c r="B51" s="681" t="s">
        <v>1460</v>
      </c>
      <c r="C51" s="688" t="s">
        <v>1406</v>
      </c>
      <c r="D51" s="681" t="s">
        <v>43</v>
      </c>
      <c r="E51" s="681" t="s">
        <v>44</v>
      </c>
      <c r="F51" s="681" t="s">
        <v>1348</v>
      </c>
      <c r="G51" s="467" t="s">
        <v>81</v>
      </c>
      <c r="H51" s="681" t="s">
        <v>62</v>
      </c>
      <c r="I51" s="681" t="s">
        <v>1412</v>
      </c>
      <c r="J51" s="449">
        <v>376503682.62672001</v>
      </c>
      <c r="K51" s="47">
        <v>3.0000000000000001E-3</v>
      </c>
      <c r="L51" s="882"/>
      <c r="M51" s="882" t="s">
        <v>122</v>
      </c>
      <c r="N51" s="883"/>
      <c r="O51" s="686">
        <f t="shared" si="7"/>
        <v>8.4999999999999995E-4</v>
      </c>
      <c r="P51" s="892"/>
      <c r="Q51" s="893"/>
      <c r="R51" s="593">
        <v>1125978.9053720003</v>
      </c>
      <c r="S51" s="673"/>
      <c r="T51" s="593">
        <f>444172/SUM($J$32:$J$33)*$J51</f>
        <v>48316.263310144997</v>
      </c>
      <c r="U51" s="593">
        <f>467821/SUM($J$32:$J$33)*$J51</f>
        <v>50888.760700844141</v>
      </c>
      <c r="V51" s="713">
        <v>453064.69380340533</v>
      </c>
      <c r="W51" s="703">
        <v>223109.28524785774</v>
      </c>
      <c r="X51" s="713"/>
      <c r="Y51" s="703"/>
      <c r="Z51" s="806"/>
      <c r="AA51" s="836"/>
      <c r="AB51" s="806" t="e">
        <f t="shared" si="1"/>
        <v>#DIV/0!</v>
      </c>
      <c r="AC51" s="806" t="e">
        <f t="shared" si="2"/>
        <v>#DIV/0!</v>
      </c>
      <c r="AD51" s="806">
        <f t="shared" si="3"/>
        <v>2.9906185711557525E-3</v>
      </c>
      <c r="AE51" s="806">
        <f t="shared" si="4"/>
        <v>1.3516138898247426E-4</v>
      </c>
      <c r="AF51" s="720">
        <v>6.2346373176360775E-3</v>
      </c>
    </row>
    <row r="52" spans="1:32">
      <c r="A52" s="687" t="s">
        <v>1461</v>
      </c>
      <c r="B52" s="681" t="s">
        <v>1462</v>
      </c>
      <c r="C52" s="688" t="s">
        <v>1406</v>
      </c>
      <c r="D52" s="681" t="s">
        <v>43</v>
      </c>
      <c r="E52" s="681" t="s">
        <v>44</v>
      </c>
      <c r="F52" s="681" t="s">
        <v>1348</v>
      </c>
      <c r="G52" s="467" t="s">
        <v>58</v>
      </c>
      <c r="H52" s="681" t="s">
        <v>62</v>
      </c>
      <c r="I52" s="681" t="s">
        <v>1412</v>
      </c>
      <c r="J52" s="449">
        <v>0</v>
      </c>
      <c r="K52" s="47">
        <v>0.03</v>
      </c>
      <c r="L52" s="881">
        <v>0.2</v>
      </c>
      <c r="M52" s="881" t="s">
        <v>108</v>
      </c>
      <c r="N52" s="875">
        <v>8.4999999999999995E-4</v>
      </c>
      <c r="O52" s="686">
        <f t="shared" si="7"/>
        <v>8.4999999999999995E-4</v>
      </c>
      <c r="P52" s="894"/>
      <c r="Q52" s="834">
        <v>81693645.514596999</v>
      </c>
      <c r="R52" s="887">
        <v>22406</v>
      </c>
      <c r="S52" s="852">
        <v>37701</v>
      </c>
      <c r="T52" s="887">
        <f>1334153/SUM($J$34:$J$36)*SUM($J52:$J53)</f>
        <v>149.09456412515968</v>
      </c>
      <c r="U52" s="887">
        <f>1841253/SUM($J$34:$J$36)*SUM($J52:$J53)</f>
        <v>205.76411661866567</v>
      </c>
      <c r="V52" s="849">
        <v>485.08159318927801</v>
      </c>
      <c r="W52" s="852">
        <v>12607.434863249375</v>
      </c>
      <c r="X52" s="849"/>
      <c r="Y52" s="852"/>
      <c r="Z52" s="832"/>
      <c r="AA52" s="834">
        <f t="shared" si="6"/>
        <v>23245.940273933105</v>
      </c>
      <c r="AB52" s="807">
        <f t="shared" si="1"/>
        <v>0.96386722739389574</v>
      </c>
      <c r="AC52" s="807">
        <f t="shared" si="2"/>
        <v>8.851615129089864E-3</v>
      </c>
      <c r="AD52" s="807" t="e">
        <f t="shared" si="3"/>
        <v>#DIV/0!</v>
      </c>
      <c r="AE52" s="807" t="e">
        <f t="shared" si="4"/>
        <v>#DIV/0!</v>
      </c>
      <c r="AF52" s="804">
        <v>2.2455542995835676E-2</v>
      </c>
    </row>
    <row r="53" spans="1:32">
      <c r="A53" s="687" t="s">
        <v>1463</v>
      </c>
      <c r="B53" s="681" t="s">
        <v>1464</v>
      </c>
      <c r="C53" s="688" t="s">
        <v>1406</v>
      </c>
      <c r="D53" s="681" t="s">
        <v>43</v>
      </c>
      <c r="E53" s="681" t="s">
        <v>44</v>
      </c>
      <c r="F53" s="681" t="s">
        <v>1348</v>
      </c>
      <c r="G53" s="467" t="s">
        <v>58</v>
      </c>
      <c r="H53" s="681" t="s">
        <v>62</v>
      </c>
      <c r="I53" s="681" t="s">
        <v>46</v>
      </c>
      <c r="J53" s="449">
        <v>1112227</v>
      </c>
      <c r="K53" s="47">
        <v>8.0000000000000002E-3</v>
      </c>
      <c r="L53" s="902"/>
      <c r="M53" s="902" t="s">
        <v>108</v>
      </c>
      <c r="N53" s="903"/>
      <c r="O53" s="686">
        <f t="shared" si="7"/>
        <v>8.4999999999999995E-4</v>
      </c>
      <c r="P53" s="895"/>
      <c r="Q53" s="897"/>
      <c r="R53" s="888"/>
      <c r="S53" s="853"/>
      <c r="T53" s="888"/>
      <c r="U53" s="888"/>
      <c r="V53" s="850">
        <v>0</v>
      </c>
      <c r="W53" s="853">
        <v>0</v>
      </c>
      <c r="X53" s="850"/>
      <c r="Y53" s="853"/>
      <c r="Z53" s="861"/>
      <c r="AA53" s="839"/>
      <c r="AB53" s="808" t="e">
        <f t="shared" si="1"/>
        <v>#DIV/0!</v>
      </c>
      <c r="AC53" s="808" t="e">
        <f t="shared" si="2"/>
        <v>#DIV/0!</v>
      </c>
      <c r="AD53" s="808">
        <f t="shared" si="3"/>
        <v>0</v>
      </c>
      <c r="AE53" s="808">
        <f t="shared" si="4"/>
        <v>0</v>
      </c>
      <c r="AF53" s="804"/>
    </row>
    <row r="54" spans="1:32">
      <c r="A54" s="687" t="s">
        <v>1465</v>
      </c>
      <c r="B54" s="681" t="s">
        <v>1466</v>
      </c>
      <c r="C54" s="688" t="s">
        <v>1406</v>
      </c>
      <c r="D54" s="681" t="s">
        <v>43</v>
      </c>
      <c r="E54" s="681" t="s">
        <v>44</v>
      </c>
      <c r="F54" s="681" t="s">
        <v>1348</v>
      </c>
      <c r="G54" s="467" t="s">
        <v>58</v>
      </c>
      <c r="H54" s="681" t="s">
        <v>62</v>
      </c>
      <c r="I54" s="681" t="s">
        <v>1412</v>
      </c>
      <c r="J54" s="449">
        <v>2206938183.6554804</v>
      </c>
      <c r="K54" s="689">
        <v>5.0000000000000001E-3</v>
      </c>
      <c r="L54" s="892"/>
      <c r="M54" s="892" t="s">
        <v>108</v>
      </c>
      <c r="N54" s="876"/>
      <c r="O54" s="686">
        <f t="shared" si="7"/>
        <v>8.4999999999999995E-4</v>
      </c>
      <c r="P54" s="896"/>
      <c r="Q54" s="893"/>
      <c r="R54" s="706">
        <v>11051903.514597002</v>
      </c>
      <c r="S54" s="707">
        <f>15460052-S52</f>
        <v>15422351</v>
      </c>
      <c r="T54" s="706">
        <f>1334153/SUM($J$34:$J$36)*$J54</f>
        <v>295841.12464747345</v>
      </c>
      <c r="U54" s="706">
        <f>1841253/SUM($J$34:$J$36)*$J54</f>
        <v>408287.77380145638</v>
      </c>
      <c r="V54" s="712">
        <v>962523.91840681073</v>
      </c>
      <c r="W54" s="707">
        <v>25016322.565136749</v>
      </c>
      <c r="X54" s="712"/>
      <c r="Y54" s="707"/>
      <c r="Z54" s="862"/>
      <c r="AA54" s="836"/>
      <c r="AB54" s="809" t="e">
        <f t="shared" si="1"/>
        <v>#DIV/0!</v>
      </c>
      <c r="AC54" s="809" t="e">
        <f t="shared" si="2"/>
        <v>#DIV/0!</v>
      </c>
      <c r="AD54" s="809">
        <f t="shared" si="3"/>
        <v>5.0077993105774668E-3</v>
      </c>
      <c r="AE54" s="809">
        <f t="shared" si="4"/>
        <v>1.8500190754105561E-4</v>
      </c>
      <c r="AF54" s="720">
        <v>7.3181740988440061E-3</v>
      </c>
    </row>
    <row r="55" spans="1:32" ht="15" customHeight="1">
      <c r="A55" s="687" t="s">
        <v>1467</v>
      </c>
      <c r="B55" s="681" t="s">
        <v>1468</v>
      </c>
      <c r="C55" s="688" t="s">
        <v>1406</v>
      </c>
      <c r="D55" s="681" t="s">
        <v>43</v>
      </c>
      <c r="E55" s="681" t="s">
        <v>44</v>
      </c>
      <c r="F55" s="681" t="s">
        <v>1348</v>
      </c>
      <c r="G55" s="681" t="s">
        <v>759</v>
      </c>
      <c r="H55" s="681" t="s">
        <v>62</v>
      </c>
      <c r="I55" s="681" t="s">
        <v>46</v>
      </c>
      <c r="J55" s="449">
        <v>1470935139</v>
      </c>
      <c r="K55" s="52">
        <v>1.4999999999999999E-2</v>
      </c>
      <c r="L55" s="873">
        <v>0.2</v>
      </c>
      <c r="M55" s="873" t="s">
        <v>108</v>
      </c>
      <c r="N55" s="873" t="s">
        <v>1472</v>
      </c>
      <c r="O55" s="686">
        <f t="shared" si="7"/>
        <v>8.4999999999999995E-4</v>
      </c>
      <c r="P55" s="873"/>
      <c r="Q55" s="834">
        <v>198008587.90744075</v>
      </c>
      <c r="R55" s="704">
        <v>22042167.264899999</v>
      </c>
      <c r="S55" s="703">
        <v>3951993</v>
      </c>
      <c r="T55" s="704">
        <v>856054.29381066572</v>
      </c>
      <c r="U55" s="704">
        <v>481744.60385711928</v>
      </c>
      <c r="V55" s="699">
        <v>600947.11812104413</v>
      </c>
      <c r="W55" s="703">
        <v>24554.289600715205</v>
      </c>
      <c r="X55" s="699"/>
      <c r="Y55" s="703"/>
      <c r="Z55" s="832"/>
      <c r="AA55" s="834">
        <f t="shared" si="6"/>
        <v>23980913.280688826</v>
      </c>
      <c r="AB55" s="807">
        <f t="shared" si="1"/>
        <v>0.91915462129834535</v>
      </c>
      <c r="AC55" s="807">
        <f t="shared" si="2"/>
        <v>2.0088667942644831E-2</v>
      </c>
      <c r="AD55" s="807">
        <f t="shared" si="3"/>
        <v>1.4985138828001034E-2</v>
      </c>
      <c r="AE55" s="807">
        <f t="shared" si="4"/>
        <v>3.2750907302726368E-4</v>
      </c>
      <c r="AF55" s="720">
        <v>1.6711722867346547E-2</v>
      </c>
    </row>
    <row r="56" spans="1:32">
      <c r="A56" s="687" t="s">
        <v>1469</v>
      </c>
      <c r="B56" s="682" t="s">
        <v>1470</v>
      </c>
      <c r="C56" s="696" t="s">
        <v>1406</v>
      </c>
      <c r="D56" s="682" t="s">
        <v>43</v>
      </c>
      <c r="E56" s="682" t="s">
        <v>44</v>
      </c>
      <c r="F56" s="681" t="s">
        <v>1348</v>
      </c>
      <c r="G56" s="681" t="s">
        <v>759</v>
      </c>
      <c r="H56" s="682" t="s">
        <v>62</v>
      </c>
      <c r="I56" s="682" t="s">
        <v>46</v>
      </c>
      <c r="J56" s="697">
        <v>11660424240</v>
      </c>
      <c r="K56" s="698">
        <v>8.0000000000000002E-3</v>
      </c>
      <c r="L56" s="889"/>
      <c r="M56" s="889" t="s">
        <v>108</v>
      </c>
      <c r="N56" s="889"/>
      <c r="O56" s="686">
        <f t="shared" si="7"/>
        <v>8.4999999999999995E-4</v>
      </c>
      <c r="P56" s="889"/>
      <c r="Q56" s="890"/>
      <c r="R56" s="708">
        <v>93397455.107299998</v>
      </c>
      <c r="S56" s="709">
        <v>55506174</v>
      </c>
      <c r="T56" s="708">
        <v>6786129.4313032031</v>
      </c>
      <c r="U56" s="708">
        <v>3818894.7339470354</v>
      </c>
      <c r="V56" s="714">
        <v>4763839.1097656451</v>
      </c>
      <c r="W56" s="709">
        <v>194647.21867397003</v>
      </c>
      <c r="X56" s="714"/>
      <c r="Y56" s="709"/>
      <c r="Z56" s="833"/>
      <c r="AA56" s="840"/>
      <c r="AB56" s="817" t="e">
        <f t="shared" si="1"/>
        <v>#DIV/0!</v>
      </c>
      <c r="AC56" s="817" t="e">
        <f t="shared" si="2"/>
        <v>#DIV/0!</v>
      </c>
      <c r="AD56" s="817">
        <f t="shared" si="3"/>
        <v>8.0097819071546922E-3</v>
      </c>
      <c r="AE56" s="817">
        <f t="shared" si="4"/>
        <v>3.2750907302726368E-4</v>
      </c>
      <c r="AF56" s="722">
        <v>9.7363659465002049E-3</v>
      </c>
    </row>
    <row r="57" spans="1:32">
      <c r="A57" s="103" t="s">
        <v>1182</v>
      </c>
      <c r="B57" s="40" t="s">
        <v>1183</v>
      </c>
      <c r="C57" s="40" t="s">
        <v>1379</v>
      </c>
      <c r="D57" s="40" t="s">
        <v>43</v>
      </c>
      <c r="E57" s="40" t="s">
        <v>44</v>
      </c>
      <c r="F57" s="40" t="s">
        <v>884</v>
      </c>
      <c r="G57" s="40" t="s">
        <v>884</v>
      </c>
      <c r="H57" s="40" t="s">
        <v>45</v>
      </c>
      <c r="I57" s="40" t="s">
        <v>46</v>
      </c>
      <c r="J57" s="41">
        <v>457353912</v>
      </c>
      <c r="K57" s="444">
        <v>1.2500000000000001E-2</v>
      </c>
      <c r="L57" s="444"/>
      <c r="M57" s="444"/>
      <c r="N57" s="444">
        <v>8.9999999999999998E-4</v>
      </c>
      <c r="O57" s="454">
        <v>2.2499999999999998E-3</v>
      </c>
      <c r="P57" s="465">
        <v>1.865E-2</v>
      </c>
      <c r="Q57" s="434">
        <v>12279000</v>
      </c>
      <c r="R57" s="41">
        <v>5786000</v>
      </c>
      <c r="S57" s="672"/>
      <c r="T57" s="41">
        <v>926000</v>
      </c>
      <c r="U57" s="41">
        <v>431000</v>
      </c>
      <c r="V57" s="41">
        <v>2958000</v>
      </c>
      <c r="W57" s="672">
        <v>2290000</v>
      </c>
      <c r="X57" s="41"/>
      <c r="Y57" s="672"/>
      <c r="Z57" s="733"/>
      <c r="AA57" s="434">
        <f t="shared" ref="AA57:AA88" si="8">+R57+T57+U57+V57+X57</f>
        <v>10101000</v>
      </c>
      <c r="AB57" s="42">
        <f t="shared" si="1"/>
        <v>0.57281457281457282</v>
      </c>
      <c r="AC57" s="42">
        <f t="shared" si="2"/>
        <v>4.2669042669042666E-2</v>
      </c>
      <c r="AD57" s="42">
        <f t="shared" si="3"/>
        <v>1.2651034238885006E-2</v>
      </c>
      <c r="AE57" s="42">
        <f t="shared" si="4"/>
        <v>9.4237742083640467E-4</v>
      </c>
      <c r="AF57" s="721">
        <f t="shared" ref="AF57:AF88" si="9">+(AA57/J57)+Z57</f>
        <v>2.2085740899926969E-2</v>
      </c>
    </row>
    <row r="58" spans="1:32" s="446" customFormat="1">
      <c r="A58" s="447" t="s">
        <v>119</v>
      </c>
      <c r="B58" s="436" t="s">
        <v>120</v>
      </c>
      <c r="C58" s="436" t="s">
        <v>1380</v>
      </c>
      <c r="D58" s="436" t="s">
        <v>43</v>
      </c>
      <c r="E58" s="436" t="s">
        <v>44</v>
      </c>
      <c r="F58" s="436" t="s">
        <v>1348</v>
      </c>
      <c r="G58" s="436" t="s">
        <v>365</v>
      </c>
      <c r="H58" s="436" t="s">
        <v>45</v>
      </c>
      <c r="I58" s="436" t="s">
        <v>46</v>
      </c>
      <c r="J58" s="440">
        <v>13597326674</v>
      </c>
      <c r="K58" s="443">
        <v>1.4999999999999999E-2</v>
      </c>
      <c r="L58" s="443"/>
      <c r="M58" s="443"/>
      <c r="N58" s="443">
        <v>1E-3</v>
      </c>
      <c r="O58" s="442">
        <v>2.5000000000000001E-4</v>
      </c>
      <c r="P58" s="443">
        <v>1.6250000000000001E-2</v>
      </c>
      <c r="Q58" s="441">
        <v>133887827</v>
      </c>
      <c r="R58" s="440">
        <v>114722546</v>
      </c>
      <c r="S58" s="679"/>
      <c r="T58" s="440"/>
      <c r="U58" s="440">
        <v>13572204</v>
      </c>
      <c r="V58" s="435">
        <v>5410685</v>
      </c>
      <c r="W58" s="678">
        <v>182392</v>
      </c>
      <c r="X58" s="440"/>
      <c r="Y58" s="679"/>
      <c r="Z58" s="436"/>
      <c r="AA58" s="715">
        <f t="shared" si="8"/>
        <v>133705435</v>
      </c>
      <c r="AB58" s="437">
        <f t="shared" si="1"/>
        <v>0.85802455225548613</v>
      </c>
      <c r="AC58" s="437">
        <f t="shared" si="2"/>
        <v>0.10150824459753637</v>
      </c>
      <c r="AD58" s="437">
        <f t="shared" si="3"/>
        <v>8.4371397959692798E-3</v>
      </c>
      <c r="AE58" s="437">
        <f t="shared" si="4"/>
        <v>9.9815238137596291E-4</v>
      </c>
      <c r="AF58" s="723">
        <f t="shared" si="9"/>
        <v>9.8332148815445889E-3</v>
      </c>
    </row>
    <row r="59" spans="1:32" s="446" customFormat="1">
      <c r="A59" s="447" t="s">
        <v>123</v>
      </c>
      <c r="B59" s="436" t="s">
        <v>124</v>
      </c>
      <c r="C59" s="436" t="s">
        <v>1380</v>
      </c>
      <c r="D59" s="436" t="s">
        <v>43</v>
      </c>
      <c r="E59" s="436" t="s">
        <v>44</v>
      </c>
      <c r="F59" s="436" t="s">
        <v>1348</v>
      </c>
      <c r="G59" s="436" t="s">
        <v>48</v>
      </c>
      <c r="H59" s="436" t="s">
        <v>45</v>
      </c>
      <c r="I59" s="436" t="s">
        <v>46</v>
      </c>
      <c r="J59" s="440">
        <v>376254456</v>
      </c>
      <c r="K59" s="443">
        <v>1.4999999999999999E-2</v>
      </c>
      <c r="L59" s="443"/>
      <c r="M59" s="443"/>
      <c r="N59" s="443">
        <v>1E-3</v>
      </c>
      <c r="O59" s="442">
        <v>2.5000000000000001E-4</v>
      </c>
      <c r="P59" s="443">
        <v>1.6250000000000001E-2</v>
      </c>
      <c r="Q59" s="441">
        <v>5830391</v>
      </c>
      <c r="R59" s="435">
        <v>4881959</v>
      </c>
      <c r="S59" s="678"/>
      <c r="T59" s="435"/>
      <c r="U59" s="435">
        <v>375537</v>
      </c>
      <c r="V59" s="435">
        <v>512592</v>
      </c>
      <c r="W59" s="678">
        <v>60303</v>
      </c>
      <c r="X59" s="435"/>
      <c r="Y59" s="678"/>
      <c r="Z59" s="436"/>
      <c r="AA59" s="441">
        <f t="shared" si="8"/>
        <v>5770088</v>
      </c>
      <c r="AB59" s="437">
        <f t="shared" si="1"/>
        <v>0.84608051038389709</v>
      </c>
      <c r="AC59" s="437">
        <f t="shared" si="2"/>
        <v>6.5083409473131085E-2</v>
      </c>
      <c r="AD59" s="437">
        <f t="shared" si="3"/>
        <v>1.2975152645102494E-2</v>
      </c>
      <c r="AE59" s="437">
        <f t="shared" si="4"/>
        <v>9.9809316278236986E-4</v>
      </c>
      <c r="AF59" s="723">
        <f t="shared" si="9"/>
        <v>1.53356004373806E-2</v>
      </c>
    </row>
    <row r="60" spans="1:32" s="446" customFormat="1">
      <c r="A60" s="447" t="s">
        <v>125</v>
      </c>
      <c r="B60" s="436" t="s">
        <v>126</v>
      </c>
      <c r="C60" s="436" t="s">
        <v>1380</v>
      </c>
      <c r="D60" s="436" t="s">
        <v>43</v>
      </c>
      <c r="E60" s="436" t="s">
        <v>44</v>
      </c>
      <c r="F60" s="436" t="s">
        <v>1349</v>
      </c>
      <c r="G60" s="436" t="s">
        <v>58</v>
      </c>
      <c r="H60" s="436" t="s">
        <v>45</v>
      </c>
      <c r="I60" s="436" t="s">
        <v>46</v>
      </c>
      <c r="J60" s="440">
        <v>260059809</v>
      </c>
      <c r="K60" s="443">
        <v>1.4999999999999999E-2</v>
      </c>
      <c r="L60" s="443"/>
      <c r="M60" s="443"/>
      <c r="N60" s="443">
        <v>1.5E-3</v>
      </c>
      <c r="O60" s="442">
        <v>2.5000000000000001E-4</v>
      </c>
      <c r="P60" s="443">
        <v>1.6750000000000001E-2</v>
      </c>
      <c r="Q60" s="441">
        <v>5065596</v>
      </c>
      <c r="R60" s="435">
        <v>3900672</v>
      </c>
      <c r="S60" s="678"/>
      <c r="T60" s="435"/>
      <c r="U60" s="435">
        <v>390070</v>
      </c>
      <c r="V60" s="435">
        <v>531227</v>
      </c>
      <c r="W60" s="678">
        <v>243627</v>
      </c>
      <c r="X60" s="435"/>
      <c r="Y60" s="678"/>
      <c r="Z60" s="436"/>
      <c r="AA60" s="441">
        <f t="shared" si="8"/>
        <v>4821969</v>
      </c>
      <c r="AB60" s="437">
        <f t="shared" si="1"/>
        <v>0.8089375937506027</v>
      </c>
      <c r="AC60" s="437">
        <f t="shared" si="2"/>
        <v>8.089434005071372E-2</v>
      </c>
      <c r="AD60" s="437">
        <f t="shared" si="3"/>
        <v>1.4999134295295894E-2</v>
      </c>
      <c r="AE60" s="437">
        <f t="shared" si="4"/>
        <v>1.4999241962836325E-3</v>
      </c>
      <c r="AF60" s="723">
        <f t="shared" si="9"/>
        <v>1.854176936659982E-2</v>
      </c>
    </row>
    <row r="61" spans="1:32" s="446" customFormat="1">
      <c r="A61" s="447" t="s">
        <v>127</v>
      </c>
      <c r="B61" s="436" t="s">
        <v>128</v>
      </c>
      <c r="C61" s="436" t="s">
        <v>1380</v>
      </c>
      <c r="D61" s="436" t="s">
        <v>43</v>
      </c>
      <c r="E61" s="436" t="s">
        <v>44</v>
      </c>
      <c r="F61" s="436" t="s">
        <v>55</v>
      </c>
      <c r="G61" s="436" t="s">
        <v>88</v>
      </c>
      <c r="H61" s="436" t="s">
        <v>45</v>
      </c>
      <c r="I61" s="436" t="s">
        <v>46</v>
      </c>
      <c r="J61" s="440">
        <v>118497683</v>
      </c>
      <c r="K61" s="443">
        <v>0.01</v>
      </c>
      <c r="L61" s="443"/>
      <c r="M61" s="443"/>
      <c r="N61" s="443">
        <v>5.0000000000000001E-4</v>
      </c>
      <c r="O61" s="442">
        <v>2.5000000000000001E-4</v>
      </c>
      <c r="P61" s="443">
        <v>1.0750000000000001E-2</v>
      </c>
      <c r="Q61" s="441">
        <v>1167716</v>
      </c>
      <c r="R61" s="435">
        <v>583451</v>
      </c>
      <c r="S61" s="678"/>
      <c r="T61" s="435"/>
      <c r="U61" s="435">
        <v>59239</v>
      </c>
      <c r="V61" s="435">
        <v>434556</v>
      </c>
      <c r="W61" s="678">
        <v>90470</v>
      </c>
      <c r="X61" s="435"/>
      <c r="Y61" s="678"/>
      <c r="Z61" s="436"/>
      <c r="AA61" s="441">
        <f t="shared" si="8"/>
        <v>1077246</v>
      </c>
      <c r="AB61" s="437">
        <f t="shared" si="1"/>
        <v>0.54161352188822243</v>
      </c>
      <c r="AC61" s="437">
        <f t="shared" si="2"/>
        <v>5.4991153367011804E-2</v>
      </c>
      <c r="AD61" s="437">
        <f t="shared" si="3"/>
        <v>4.9237334032936324E-3</v>
      </c>
      <c r="AE61" s="437">
        <f t="shared" si="4"/>
        <v>4.9991694774318926E-4</v>
      </c>
      <c r="AF61" s="723">
        <f t="shared" si="9"/>
        <v>9.0908612955748671E-3</v>
      </c>
    </row>
    <row r="62" spans="1:32">
      <c r="A62" s="103" t="s">
        <v>129</v>
      </c>
      <c r="B62" s="40" t="s">
        <v>130</v>
      </c>
      <c r="C62" s="40" t="s">
        <v>1381</v>
      </c>
      <c r="D62" s="40" t="s">
        <v>43</v>
      </c>
      <c r="E62" s="40" t="s">
        <v>44</v>
      </c>
      <c r="F62" s="40" t="s">
        <v>132</v>
      </c>
      <c r="G62" s="40" t="s">
        <v>116</v>
      </c>
      <c r="H62" s="40" t="s">
        <v>45</v>
      </c>
      <c r="I62" s="40" t="s">
        <v>46</v>
      </c>
      <c r="J62" s="449">
        <v>1901825813</v>
      </c>
      <c r="K62" s="444">
        <v>1.4999999999999999E-2</v>
      </c>
      <c r="L62" s="444"/>
      <c r="M62" s="444"/>
      <c r="N62" s="444">
        <v>8.9999999999999998E-4</v>
      </c>
      <c r="O62" s="42">
        <v>2.5000000000000001E-4</v>
      </c>
      <c r="P62" s="444">
        <v>7.9000000000000008E-3</v>
      </c>
      <c r="Q62" s="466">
        <v>142558504</v>
      </c>
      <c r="R62" s="455">
        <v>12250257</v>
      </c>
      <c r="S62" s="673"/>
      <c r="T62" s="455"/>
      <c r="U62" s="455">
        <v>1711640</v>
      </c>
      <c r="V62" s="41">
        <v>126916312</v>
      </c>
      <c r="W62" s="672">
        <v>177810</v>
      </c>
      <c r="X62" s="455"/>
      <c r="Y62" s="673">
        <v>1502485</v>
      </c>
      <c r="Z62" s="733"/>
      <c r="AA62" s="466">
        <f t="shared" si="8"/>
        <v>140878209</v>
      </c>
      <c r="AB62" s="42">
        <f t="shared" si="1"/>
        <v>8.6956365267250091E-2</v>
      </c>
      <c r="AC62" s="42">
        <f t="shared" si="2"/>
        <v>1.2149785351118426E-2</v>
      </c>
      <c r="AD62" s="42">
        <f t="shared" si="3"/>
        <v>6.4413138765195633E-3</v>
      </c>
      <c r="AE62" s="42">
        <f t="shared" si="4"/>
        <v>8.9999830073817595E-4</v>
      </c>
      <c r="AF62" s="721">
        <f t="shared" si="9"/>
        <v>7.4075242872939179E-2</v>
      </c>
    </row>
    <row r="63" spans="1:32">
      <c r="A63" s="105" t="s">
        <v>133</v>
      </c>
      <c r="B63" s="450" t="s">
        <v>134</v>
      </c>
      <c r="C63" s="450" t="s">
        <v>1382</v>
      </c>
      <c r="D63" s="450" t="s">
        <v>43</v>
      </c>
      <c r="E63" s="450" t="s">
        <v>44</v>
      </c>
      <c r="F63" s="450" t="s">
        <v>1348</v>
      </c>
      <c r="G63" s="450" t="s">
        <v>641</v>
      </c>
      <c r="H63" s="450" t="s">
        <v>45</v>
      </c>
      <c r="I63" s="450" t="s">
        <v>46</v>
      </c>
      <c r="J63" s="449">
        <v>171158353.08366534</v>
      </c>
      <c r="K63" s="52" t="s">
        <v>137</v>
      </c>
      <c r="L63" s="52"/>
      <c r="M63" s="52"/>
      <c r="N63" s="52" t="s">
        <v>138</v>
      </c>
      <c r="O63" s="448"/>
      <c r="P63" s="52"/>
      <c r="Q63" s="434">
        <v>3352266</v>
      </c>
      <c r="R63" s="449">
        <v>86421</v>
      </c>
      <c r="S63" s="672"/>
      <c r="T63" s="449">
        <v>85527</v>
      </c>
      <c r="U63" s="449">
        <v>600000</v>
      </c>
      <c r="V63" s="41">
        <v>2572679</v>
      </c>
      <c r="W63" s="672">
        <v>7639</v>
      </c>
      <c r="X63" s="449"/>
      <c r="Y63" s="672"/>
      <c r="Z63" s="735"/>
      <c r="AA63" s="434">
        <f t="shared" si="8"/>
        <v>3344627</v>
      </c>
      <c r="AB63" s="448">
        <f t="shared" si="1"/>
        <v>2.5838755711772941E-2</v>
      </c>
      <c r="AC63" s="448">
        <f t="shared" si="2"/>
        <v>0.17939220128283362</v>
      </c>
      <c r="AD63" s="448">
        <f t="shared" si="3"/>
        <v>5.0491838956732559E-4</v>
      </c>
      <c r="AE63" s="448">
        <f t="shared" si="4"/>
        <v>3.505525667839939E-3</v>
      </c>
      <c r="AF63" s="721">
        <f t="shared" si="9"/>
        <v>1.9541126329750819E-2</v>
      </c>
    </row>
    <row r="64" spans="1:32">
      <c r="A64" s="105" t="s">
        <v>139</v>
      </c>
      <c r="B64" s="450" t="s">
        <v>140</v>
      </c>
      <c r="C64" s="450" t="s">
        <v>1382</v>
      </c>
      <c r="D64" s="450" t="s">
        <v>43</v>
      </c>
      <c r="E64" s="450" t="s">
        <v>44</v>
      </c>
      <c r="F64" s="450" t="s">
        <v>1348</v>
      </c>
      <c r="G64" s="450" t="s">
        <v>641</v>
      </c>
      <c r="H64" s="450" t="s">
        <v>45</v>
      </c>
      <c r="I64" s="450" t="s">
        <v>46</v>
      </c>
      <c r="J64" s="449">
        <v>1115455608.9282868</v>
      </c>
      <c r="K64" s="52" t="s">
        <v>137</v>
      </c>
      <c r="L64" s="52"/>
      <c r="M64" s="52"/>
      <c r="N64" s="52" t="s">
        <v>141</v>
      </c>
      <c r="O64" s="448"/>
      <c r="P64" s="52"/>
      <c r="Q64" s="434">
        <v>4537275</v>
      </c>
      <c r="R64" s="449">
        <v>544096</v>
      </c>
      <c r="S64" s="672"/>
      <c r="T64" s="449">
        <v>543364</v>
      </c>
      <c r="U64" s="449">
        <v>615294</v>
      </c>
      <c r="V64" s="41">
        <v>2827549</v>
      </c>
      <c r="W64" s="672">
        <v>6972</v>
      </c>
      <c r="X64" s="449"/>
      <c r="Y64" s="672"/>
      <c r="Z64" s="467"/>
      <c r="AA64" s="434">
        <f t="shared" si="8"/>
        <v>4530303</v>
      </c>
      <c r="AB64" s="448">
        <f t="shared" si="1"/>
        <v>0.12010145899733417</v>
      </c>
      <c r="AC64" s="448">
        <f t="shared" si="2"/>
        <v>0.13581740559075187</v>
      </c>
      <c r="AD64" s="448">
        <f t="shared" si="3"/>
        <v>4.8777916005349545E-4</v>
      </c>
      <c r="AE64" s="448">
        <f t="shared" si="4"/>
        <v>5.5160778705587877E-4</v>
      </c>
      <c r="AF64" s="721">
        <f t="shared" si="9"/>
        <v>4.0613924603890312E-3</v>
      </c>
    </row>
    <row r="65" spans="1:32">
      <c r="A65" s="105" t="s">
        <v>142</v>
      </c>
      <c r="B65" s="450" t="s">
        <v>143</v>
      </c>
      <c r="C65" s="450" t="s">
        <v>1382</v>
      </c>
      <c r="D65" s="450" t="s">
        <v>43</v>
      </c>
      <c r="E65" s="450" t="s">
        <v>44</v>
      </c>
      <c r="F65" s="450" t="s">
        <v>1348</v>
      </c>
      <c r="G65" s="450" t="s">
        <v>641</v>
      </c>
      <c r="H65" s="450" t="s">
        <v>45</v>
      </c>
      <c r="I65" s="450" t="s">
        <v>46</v>
      </c>
      <c r="J65" s="449">
        <v>452589163.49800795</v>
      </c>
      <c r="K65" s="52" t="s">
        <v>137</v>
      </c>
      <c r="L65" s="52"/>
      <c r="M65" s="52"/>
      <c r="N65" s="52" t="s">
        <v>141</v>
      </c>
      <c r="O65" s="448"/>
      <c r="P65" s="52"/>
      <c r="Q65" s="434">
        <v>3705177</v>
      </c>
      <c r="R65" s="449">
        <v>243002</v>
      </c>
      <c r="S65" s="672"/>
      <c r="T65" s="449">
        <v>206917</v>
      </c>
      <c r="U65" s="449">
        <v>600000</v>
      </c>
      <c r="V65" s="41">
        <v>2647452</v>
      </c>
      <c r="W65" s="672">
        <v>7806</v>
      </c>
      <c r="X65" s="449"/>
      <c r="Y65" s="672"/>
      <c r="Z65" s="467"/>
      <c r="AA65" s="434">
        <f t="shared" si="8"/>
        <v>3697371</v>
      </c>
      <c r="AB65" s="448">
        <f t="shared" si="1"/>
        <v>6.5722915011774588E-2</v>
      </c>
      <c r="AC65" s="448">
        <f t="shared" si="2"/>
        <v>0.16227746688119749</v>
      </c>
      <c r="AD65" s="448">
        <f t="shared" si="3"/>
        <v>5.3691519726602904E-4</v>
      </c>
      <c r="AE65" s="448">
        <f t="shared" si="4"/>
        <v>1.3257056253019211E-3</v>
      </c>
      <c r="AF65" s="721">
        <f t="shared" si="9"/>
        <v>8.1693758892136484E-3</v>
      </c>
    </row>
    <row r="66" spans="1:32">
      <c r="A66" s="105" t="s">
        <v>144</v>
      </c>
      <c r="B66" s="450" t="s">
        <v>145</v>
      </c>
      <c r="C66" s="450" t="s">
        <v>1382</v>
      </c>
      <c r="D66" s="450" t="s">
        <v>43</v>
      </c>
      <c r="E66" s="450" t="s">
        <v>44</v>
      </c>
      <c r="F66" s="450" t="s">
        <v>1348</v>
      </c>
      <c r="G66" s="450" t="s">
        <v>641</v>
      </c>
      <c r="H66" s="450" t="s">
        <v>45</v>
      </c>
      <c r="I66" s="450" t="s">
        <v>46</v>
      </c>
      <c r="J66" s="449">
        <v>410147224.91235059</v>
      </c>
      <c r="K66" s="52" t="s">
        <v>137</v>
      </c>
      <c r="L66" s="52"/>
      <c r="M66" s="52"/>
      <c r="N66" s="52" t="s">
        <v>141</v>
      </c>
      <c r="O66" s="448"/>
      <c r="P66" s="52"/>
      <c r="Q66" s="434">
        <v>3662759</v>
      </c>
      <c r="R66" s="449">
        <v>205989</v>
      </c>
      <c r="S66" s="672"/>
      <c r="T66" s="449">
        <v>194273</v>
      </c>
      <c r="U66" s="449">
        <v>600000</v>
      </c>
      <c r="V66" s="41">
        <v>2655023</v>
      </c>
      <c r="W66" s="672">
        <v>7474</v>
      </c>
      <c r="X66" s="449"/>
      <c r="Y66" s="672"/>
      <c r="Z66" s="467"/>
      <c r="AA66" s="434">
        <f t="shared" si="8"/>
        <v>3655285</v>
      </c>
      <c r="AB66" s="448">
        <f t="shared" si="1"/>
        <v>5.6353745330391475E-2</v>
      </c>
      <c r="AC66" s="448">
        <f t="shared" si="2"/>
        <v>0.16414588739318547</v>
      </c>
      <c r="AD66" s="448">
        <f t="shared" si="3"/>
        <v>5.022318511213146E-4</v>
      </c>
      <c r="AE66" s="448">
        <f t="shared" si="4"/>
        <v>1.4628893323079812E-3</v>
      </c>
      <c r="AF66" s="721">
        <f t="shared" si="9"/>
        <v>8.9121290550756328E-3</v>
      </c>
    </row>
    <row r="67" spans="1:32">
      <c r="A67" s="105" t="s">
        <v>146</v>
      </c>
      <c r="B67" s="450" t="s">
        <v>147</v>
      </c>
      <c r="C67" s="450" t="s">
        <v>1382</v>
      </c>
      <c r="D67" s="450" t="s">
        <v>43</v>
      </c>
      <c r="E67" s="450" t="s">
        <v>44</v>
      </c>
      <c r="F67" s="450" t="s">
        <v>1348</v>
      </c>
      <c r="G67" s="450" t="s">
        <v>641</v>
      </c>
      <c r="H67" s="450" t="s">
        <v>45</v>
      </c>
      <c r="I67" s="450" t="s">
        <v>46</v>
      </c>
      <c r="J67" s="449">
        <v>375947454.24302787</v>
      </c>
      <c r="K67" s="52" t="s">
        <v>137</v>
      </c>
      <c r="L67" s="52"/>
      <c r="M67" s="52"/>
      <c r="N67" s="52" t="s">
        <v>138</v>
      </c>
      <c r="O67" s="448"/>
      <c r="P67" s="52"/>
      <c r="Q67" s="434">
        <v>3596450</v>
      </c>
      <c r="R67" s="449">
        <v>186854</v>
      </c>
      <c r="S67" s="672"/>
      <c r="T67" s="449">
        <v>187673</v>
      </c>
      <c r="U67" s="449">
        <v>600000</v>
      </c>
      <c r="V67" s="41">
        <v>2613250</v>
      </c>
      <c r="W67" s="672">
        <v>8673</v>
      </c>
      <c r="X67" s="449"/>
      <c r="Y67" s="672"/>
      <c r="Z67" s="467"/>
      <c r="AA67" s="434">
        <f t="shared" si="8"/>
        <v>3587777</v>
      </c>
      <c r="AB67" s="448">
        <f t="shared" ref="AB67:AB130" si="10">+R67/AA67</f>
        <v>5.2080717391298291E-2</v>
      </c>
      <c r="AC67" s="448">
        <f t="shared" ref="AC67:AC130" si="11">+U67/AA67</f>
        <v>0.16723447416046203</v>
      </c>
      <c r="AD67" s="448">
        <f t="shared" ref="AD67:AD130" si="12">+R67/J67</f>
        <v>4.9702158610498242E-4</v>
      </c>
      <c r="AE67" s="448">
        <f t="shared" ref="AE67:AE130" si="13">+U67/J67</f>
        <v>1.5959677163078631E-3</v>
      </c>
      <c r="AF67" s="721">
        <f t="shared" si="9"/>
        <v>9.5432937755197938E-3</v>
      </c>
    </row>
    <row r="68" spans="1:32">
      <c r="A68" s="105" t="s">
        <v>148</v>
      </c>
      <c r="B68" s="450" t="s">
        <v>149</v>
      </c>
      <c r="C68" s="450" t="s">
        <v>1382</v>
      </c>
      <c r="D68" s="450" t="s">
        <v>43</v>
      </c>
      <c r="E68" s="450" t="s">
        <v>44</v>
      </c>
      <c r="F68" s="450" t="s">
        <v>1348</v>
      </c>
      <c r="G68" s="450" t="s">
        <v>641</v>
      </c>
      <c r="H68" s="450" t="s">
        <v>45</v>
      </c>
      <c r="I68" s="450" t="s">
        <v>46</v>
      </c>
      <c r="J68" s="449">
        <v>590409101.07171309</v>
      </c>
      <c r="K68" s="52" t="s">
        <v>137</v>
      </c>
      <c r="L68" s="52"/>
      <c r="M68" s="52"/>
      <c r="N68" s="52" t="s">
        <v>138</v>
      </c>
      <c r="O68" s="448"/>
      <c r="P68" s="52"/>
      <c r="Q68" s="434">
        <v>3872419</v>
      </c>
      <c r="R68" s="449">
        <v>297518</v>
      </c>
      <c r="S68" s="672"/>
      <c r="T68" s="449">
        <v>292982</v>
      </c>
      <c r="U68" s="449">
        <v>600000</v>
      </c>
      <c r="V68" s="41">
        <v>2674280</v>
      </c>
      <c r="W68" s="672">
        <v>7639</v>
      </c>
      <c r="X68" s="449"/>
      <c r="Y68" s="672"/>
      <c r="Z68" s="467"/>
      <c r="AA68" s="434">
        <f t="shared" si="8"/>
        <v>3864780</v>
      </c>
      <c r="AB68" s="448">
        <f t="shared" si="10"/>
        <v>7.6981872189361367E-2</v>
      </c>
      <c r="AC68" s="448">
        <f t="shared" si="11"/>
        <v>0.15524816419045845</v>
      </c>
      <c r="AD68" s="448">
        <f t="shared" si="12"/>
        <v>5.0391838381207892E-4</v>
      </c>
      <c r="AE68" s="448">
        <f t="shared" si="13"/>
        <v>1.0162444970968055E-3</v>
      </c>
      <c r="AF68" s="721">
        <f t="shared" si="9"/>
        <v>6.5459356791496524E-3</v>
      </c>
    </row>
    <row r="69" spans="1:32">
      <c r="A69" s="105" t="s">
        <v>150</v>
      </c>
      <c r="B69" s="450" t="s">
        <v>151</v>
      </c>
      <c r="C69" s="450" t="s">
        <v>1382</v>
      </c>
      <c r="D69" s="450" t="s">
        <v>43</v>
      </c>
      <c r="E69" s="450" t="s">
        <v>44</v>
      </c>
      <c r="F69" s="450" t="s">
        <v>1348</v>
      </c>
      <c r="G69" s="450" t="s">
        <v>641</v>
      </c>
      <c r="H69" s="450" t="s">
        <v>45</v>
      </c>
      <c r="I69" s="450" t="s">
        <v>46</v>
      </c>
      <c r="J69" s="449">
        <v>661773922.60557771</v>
      </c>
      <c r="K69" s="52" t="s">
        <v>137</v>
      </c>
      <c r="L69" s="52"/>
      <c r="M69" s="52"/>
      <c r="N69" s="52" t="s">
        <v>138</v>
      </c>
      <c r="O69" s="448"/>
      <c r="P69" s="52"/>
      <c r="Q69" s="434">
        <v>3957359</v>
      </c>
      <c r="R69" s="449">
        <v>331743</v>
      </c>
      <c r="S69" s="672"/>
      <c r="T69" s="449">
        <v>319643</v>
      </c>
      <c r="U69" s="449">
        <v>600000</v>
      </c>
      <c r="V69" s="41">
        <v>2698500</v>
      </c>
      <c r="W69" s="672">
        <v>7473</v>
      </c>
      <c r="X69" s="449"/>
      <c r="Y69" s="672"/>
      <c r="Z69" s="467"/>
      <c r="AA69" s="434">
        <f t="shared" si="8"/>
        <v>3949886</v>
      </c>
      <c r="AB69" s="448">
        <f t="shared" si="10"/>
        <v>8.3987993577536169E-2</v>
      </c>
      <c r="AC69" s="448">
        <f t="shared" si="11"/>
        <v>0.15190311821657637</v>
      </c>
      <c r="AD69" s="448">
        <f t="shared" si="12"/>
        <v>5.0129355157096651E-4</v>
      </c>
      <c r="AE69" s="448">
        <f t="shared" si="13"/>
        <v>9.0665403924899675E-4</v>
      </c>
      <c r="AF69" s="721">
        <f t="shared" si="9"/>
        <v>5.9686334941217714E-3</v>
      </c>
    </row>
    <row r="70" spans="1:32">
      <c r="A70" s="105" t="s">
        <v>152</v>
      </c>
      <c r="B70" s="450" t="s">
        <v>153</v>
      </c>
      <c r="C70" s="450" t="s">
        <v>1382</v>
      </c>
      <c r="D70" s="450" t="s">
        <v>43</v>
      </c>
      <c r="E70" s="450" t="s">
        <v>44</v>
      </c>
      <c r="F70" s="450" t="s">
        <v>1348</v>
      </c>
      <c r="G70" s="450" t="s">
        <v>81</v>
      </c>
      <c r="H70" s="450" t="s">
        <v>45</v>
      </c>
      <c r="I70" s="450" t="s">
        <v>46</v>
      </c>
      <c r="J70" s="449">
        <v>43344909254.139442</v>
      </c>
      <c r="K70" s="52" t="s">
        <v>154</v>
      </c>
      <c r="L70" s="52"/>
      <c r="M70" s="52"/>
      <c r="N70" s="52" t="s">
        <v>155</v>
      </c>
      <c r="O70" s="448"/>
      <c r="P70" s="52"/>
      <c r="Q70" s="434">
        <v>678780524.96000004</v>
      </c>
      <c r="R70" s="449">
        <v>312643126</v>
      </c>
      <c r="S70" s="672"/>
      <c r="T70" s="449">
        <v>333892520</v>
      </c>
      <c r="U70" s="449">
        <v>17275255</v>
      </c>
      <c r="V70" s="41">
        <v>14578399.960000001</v>
      </c>
      <c r="W70" s="672">
        <v>391224</v>
      </c>
      <c r="X70" s="449"/>
      <c r="Y70" s="672"/>
      <c r="Z70" s="467"/>
      <c r="AA70" s="434">
        <f t="shared" si="8"/>
        <v>678389300.96000004</v>
      </c>
      <c r="AB70" s="448">
        <f t="shared" si="10"/>
        <v>0.46086093273813944</v>
      </c>
      <c r="AC70" s="448">
        <f t="shared" si="11"/>
        <v>2.5465105324558476E-2</v>
      </c>
      <c r="AD70" s="448">
        <f t="shared" si="12"/>
        <v>7.2129145355205133E-3</v>
      </c>
      <c r="AE70" s="448">
        <f t="shared" si="13"/>
        <v>3.9855326259219729E-4</v>
      </c>
      <c r="AF70" s="721">
        <f t="shared" si="9"/>
        <v>1.5650956770551176E-2</v>
      </c>
    </row>
    <row r="71" spans="1:32">
      <c r="A71" s="105" t="s">
        <v>159</v>
      </c>
      <c r="B71" s="450" t="s">
        <v>160</v>
      </c>
      <c r="C71" s="450" t="s">
        <v>1382</v>
      </c>
      <c r="D71" s="450" t="s">
        <v>43</v>
      </c>
      <c r="E71" s="450" t="s">
        <v>44</v>
      </c>
      <c r="F71" s="450" t="s">
        <v>1348</v>
      </c>
      <c r="G71" s="450" t="s">
        <v>641</v>
      </c>
      <c r="H71" s="450" t="s">
        <v>45</v>
      </c>
      <c r="I71" s="450" t="s">
        <v>46</v>
      </c>
      <c r="J71" s="449">
        <v>49524002410.649391</v>
      </c>
      <c r="K71" s="52" t="s">
        <v>154</v>
      </c>
      <c r="L71" s="52"/>
      <c r="M71" s="52"/>
      <c r="N71" s="52" t="s">
        <v>161</v>
      </c>
      <c r="O71" s="448"/>
      <c r="P71" s="52"/>
      <c r="Q71" s="434">
        <v>780012664</v>
      </c>
      <c r="R71" s="449">
        <v>397717264</v>
      </c>
      <c r="S71" s="672"/>
      <c r="T71" s="449">
        <v>346187045</v>
      </c>
      <c r="U71" s="449">
        <v>19850430</v>
      </c>
      <c r="V71" s="41">
        <v>16119809</v>
      </c>
      <c r="W71" s="672">
        <v>138116</v>
      </c>
      <c r="X71" s="449"/>
      <c r="Y71" s="672"/>
      <c r="Z71" s="467"/>
      <c r="AA71" s="434">
        <f t="shared" si="8"/>
        <v>779874548</v>
      </c>
      <c r="AB71" s="448">
        <f t="shared" si="10"/>
        <v>0.50997595064482093</v>
      </c>
      <c r="AC71" s="448">
        <f t="shared" si="11"/>
        <v>2.5453363045257377E-2</v>
      </c>
      <c r="AD71" s="448">
        <f t="shared" si="12"/>
        <v>8.0307980906340649E-3</v>
      </c>
      <c r="AE71" s="448">
        <f t="shared" si="13"/>
        <v>4.0082442924143513E-4</v>
      </c>
      <c r="AF71" s="721">
        <f t="shared" si="9"/>
        <v>1.5747405501141395E-2</v>
      </c>
    </row>
    <row r="72" spans="1:32">
      <c r="A72" s="105" t="s">
        <v>165</v>
      </c>
      <c r="B72" s="450" t="s">
        <v>166</v>
      </c>
      <c r="C72" s="450" t="s">
        <v>1382</v>
      </c>
      <c r="D72" s="450" t="s">
        <v>43</v>
      </c>
      <c r="E72" s="450" t="s">
        <v>44</v>
      </c>
      <c r="F72" s="450" t="s">
        <v>1348</v>
      </c>
      <c r="G72" s="450" t="s">
        <v>641</v>
      </c>
      <c r="H72" s="450" t="s">
        <v>45</v>
      </c>
      <c r="I72" s="450" t="s">
        <v>46</v>
      </c>
      <c r="J72" s="449">
        <v>23338800863.920319</v>
      </c>
      <c r="K72" s="52" t="s">
        <v>167</v>
      </c>
      <c r="L72" s="52"/>
      <c r="M72" s="52"/>
      <c r="N72" s="52" t="s">
        <v>138</v>
      </c>
      <c r="O72" s="448"/>
      <c r="P72" s="52"/>
      <c r="Q72" s="434">
        <v>229920850</v>
      </c>
      <c r="R72" s="449">
        <v>107693964</v>
      </c>
      <c r="S72" s="672"/>
      <c r="T72" s="449">
        <v>103219108</v>
      </c>
      <c r="U72" s="449">
        <v>9373799</v>
      </c>
      <c r="V72" s="41">
        <v>9608840</v>
      </c>
      <c r="W72" s="672">
        <v>25139</v>
      </c>
      <c r="X72" s="449"/>
      <c r="Y72" s="672"/>
      <c r="Z72" s="467"/>
      <c r="AA72" s="434">
        <f t="shared" si="8"/>
        <v>229895711</v>
      </c>
      <c r="AB72" s="448">
        <f t="shared" si="10"/>
        <v>0.46844703422935974</v>
      </c>
      <c r="AC72" s="448">
        <f t="shared" si="11"/>
        <v>4.0774136060328675E-2</v>
      </c>
      <c r="AD72" s="448">
        <f t="shared" si="12"/>
        <v>4.6143743471621611E-3</v>
      </c>
      <c r="AE72" s="448">
        <f t="shared" si="13"/>
        <v>4.0164012944174214E-4</v>
      </c>
      <c r="AF72" s="721">
        <f t="shared" si="9"/>
        <v>9.8503651640216884E-3</v>
      </c>
    </row>
    <row r="73" spans="1:32">
      <c r="A73" s="105" t="s">
        <v>173</v>
      </c>
      <c r="B73" s="450" t="s">
        <v>174</v>
      </c>
      <c r="C73" s="450" t="s">
        <v>1382</v>
      </c>
      <c r="D73" s="450" t="s">
        <v>43</v>
      </c>
      <c r="E73" s="450" t="s">
        <v>44</v>
      </c>
      <c r="F73" s="450" t="s">
        <v>1348</v>
      </c>
      <c r="G73" s="450" t="s">
        <v>365</v>
      </c>
      <c r="H73" s="450" t="s">
        <v>45</v>
      </c>
      <c r="I73" s="450" t="s">
        <v>46</v>
      </c>
      <c r="J73" s="449">
        <v>47810832205.1474</v>
      </c>
      <c r="K73" s="52" t="s">
        <v>175</v>
      </c>
      <c r="L73" s="52"/>
      <c r="M73" s="52"/>
      <c r="N73" s="52" t="s">
        <v>176</v>
      </c>
      <c r="O73" s="448"/>
      <c r="P73" s="52"/>
      <c r="Q73" s="434">
        <v>1227614838</v>
      </c>
      <c r="R73" s="449">
        <v>480155983</v>
      </c>
      <c r="S73" s="672"/>
      <c r="T73" s="449">
        <v>717993518</v>
      </c>
      <c r="U73" s="449">
        <v>14377613</v>
      </c>
      <c r="V73" s="41">
        <v>14953409</v>
      </c>
      <c r="W73" s="672">
        <v>134315</v>
      </c>
      <c r="X73" s="449"/>
      <c r="Y73" s="672"/>
      <c r="Z73" s="467"/>
      <c r="AA73" s="434">
        <f t="shared" si="8"/>
        <v>1227480523</v>
      </c>
      <c r="AB73" s="448">
        <f t="shared" si="10"/>
        <v>0.3911719770725845</v>
      </c>
      <c r="AC73" s="448">
        <f t="shared" si="11"/>
        <v>1.1713108868612166E-2</v>
      </c>
      <c r="AD73" s="448">
        <f t="shared" si="12"/>
        <v>1.004282838959464E-2</v>
      </c>
      <c r="AE73" s="448">
        <f t="shared" si="13"/>
        <v>3.0071873541770476E-4</v>
      </c>
      <c r="AF73" s="721">
        <f t="shared" si="9"/>
        <v>2.567369080155537E-2</v>
      </c>
    </row>
    <row r="74" spans="1:32">
      <c r="A74" s="105" t="s">
        <v>177</v>
      </c>
      <c r="B74" s="450" t="s">
        <v>178</v>
      </c>
      <c r="C74" s="450" t="s">
        <v>1382</v>
      </c>
      <c r="D74" s="450" t="s">
        <v>43</v>
      </c>
      <c r="E74" s="450" t="s">
        <v>44</v>
      </c>
      <c r="F74" s="450" t="s">
        <v>1348</v>
      </c>
      <c r="G74" s="450" t="s">
        <v>641</v>
      </c>
      <c r="H74" s="450" t="s">
        <v>45</v>
      </c>
      <c r="I74" s="450" t="s">
        <v>46</v>
      </c>
      <c r="J74" s="449">
        <v>587628060.84063745</v>
      </c>
      <c r="K74" s="52" t="s">
        <v>154</v>
      </c>
      <c r="L74" s="52"/>
      <c r="M74" s="52"/>
      <c r="N74" s="52" t="s">
        <v>179</v>
      </c>
      <c r="O74" s="448"/>
      <c r="P74" s="52"/>
      <c r="Q74" s="434">
        <v>8798331.9399999995</v>
      </c>
      <c r="R74" s="449">
        <v>2443423</v>
      </c>
      <c r="S74" s="672"/>
      <c r="T74" s="449">
        <v>5065331</v>
      </c>
      <c r="U74" s="449">
        <v>499198</v>
      </c>
      <c r="V74" s="41">
        <v>767500</v>
      </c>
      <c r="W74" s="672">
        <v>22879.94</v>
      </c>
      <c r="X74" s="449"/>
      <c r="Y74" s="672"/>
      <c r="Z74" s="467"/>
      <c r="AA74" s="434">
        <f t="shared" si="8"/>
        <v>8775452</v>
      </c>
      <c r="AB74" s="448">
        <f t="shared" si="10"/>
        <v>0.27843842117762141</v>
      </c>
      <c r="AC74" s="448">
        <f t="shared" si="11"/>
        <v>5.6885730786288842E-2</v>
      </c>
      <c r="AD74" s="448">
        <f t="shared" si="12"/>
        <v>4.1581115042473226E-3</v>
      </c>
      <c r="AE74" s="448">
        <f t="shared" si="13"/>
        <v>8.4951354992453406E-4</v>
      </c>
      <c r="AF74" s="721">
        <f t="shared" si="9"/>
        <v>1.4933684391188171E-2</v>
      </c>
    </row>
    <row r="75" spans="1:32">
      <c r="A75" s="105" t="s">
        <v>180</v>
      </c>
      <c r="B75" s="450" t="s">
        <v>181</v>
      </c>
      <c r="C75" s="450" t="s">
        <v>1382</v>
      </c>
      <c r="D75" s="450" t="s">
        <v>43</v>
      </c>
      <c r="E75" s="450" t="s">
        <v>44</v>
      </c>
      <c r="F75" s="450" t="s">
        <v>1348</v>
      </c>
      <c r="G75" s="450" t="s">
        <v>1350</v>
      </c>
      <c r="H75" s="450" t="s">
        <v>45</v>
      </c>
      <c r="I75" s="450" t="s">
        <v>46</v>
      </c>
      <c r="J75" s="449">
        <v>180916117.51394421</v>
      </c>
      <c r="K75" s="52" t="s">
        <v>182</v>
      </c>
      <c r="L75" s="52"/>
      <c r="M75" s="52"/>
      <c r="N75" s="52" t="s">
        <v>176</v>
      </c>
      <c r="O75" s="448"/>
      <c r="P75" s="52"/>
      <c r="Q75" s="434">
        <v>4944970.37</v>
      </c>
      <c r="R75" s="449">
        <v>1819719</v>
      </c>
      <c r="S75" s="672"/>
      <c r="T75" s="449">
        <v>1807255</v>
      </c>
      <c r="U75" s="449">
        <v>200905</v>
      </c>
      <c r="V75" s="41">
        <v>1044753</v>
      </c>
      <c r="W75" s="672">
        <v>72338.37</v>
      </c>
      <c r="X75" s="449"/>
      <c r="Y75" s="672"/>
      <c r="Z75" s="467"/>
      <c r="AA75" s="434">
        <f t="shared" si="8"/>
        <v>4872632</v>
      </c>
      <c r="AB75" s="448">
        <f t="shared" si="10"/>
        <v>0.37345709669845784</v>
      </c>
      <c r="AC75" s="448">
        <f t="shared" si="11"/>
        <v>4.1231309895760647E-2</v>
      </c>
      <c r="AD75" s="448">
        <f t="shared" si="12"/>
        <v>1.005835756927375E-2</v>
      </c>
      <c r="AE75" s="448">
        <f t="shared" si="13"/>
        <v>1.1104870188501316E-3</v>
      </c>
      <c r="AF75" s="721">
        <f t="shared" si="9"/>
        <v>2.6933100637782807E-2</v>
      </c>
    </row>
    <row r="76" spans="1:32">
      <c r="A76" s="105" t="s">
        <v>183</v>
      </c>
      <c r="B76" s="450" t="s">
        <v>184</v>
      </c>
      <c r="C76" s="450" t="s">
        <v>1382</v>
      </c>
      <c r="D76" s="450" t="s">
        <v>43</v>
      </c>
      <c r="E76" s="450" t="s">
        <v>44</v>
      </c>
      <c r="F76" s="450" t="s">
        <v>1348</v>
      </c>
      <c r="G76" s="450" t="s">
        <v>1350</v>
      </c>
      <c r="H76" s="450" t="s">
        <v>62</v>
      </c>
      <c r="I76" s="450" t="s">
        <v>46</v>
      </c>
      <c r="J76" s="449">
        <v>1431532074.0557768</v>
      </c>
      <c r="K76" s="52" t="s">
        <v>182</v>
      </c>
      <c r="L76" s="52"/>
      <c r="M76" s="52"/>
      <c r="N76" s="52" t="s">
        <v>161</v>
      </c>
      <c r="O76" s="448"/>
      <c r="P76" s="52"/>
      <c r="Q76" s="434">
        <v>24441715.75</v>
      </c>
      <c r="R76" s="449">
        <v>10844427</v>
      </c>
      <c r="S76" s="672"/>
      <c r="T76" s="449">
        <v>10775987</v>
      </c>
      <c r="U76" s="449">
        <v>786862</v>
      </c>
      <c r="V76" s="41">
        <v>1646500</v>
      </c>
      <c r="W76" s="672">
        <v>387939.75</v>
      </c>
      <c r="X76" s="449"/>
      <c r="Y76" s="672"/>
      <c r="Z76" s="467"/>
      <c r="AA76" s="434">
        <f t="shared" si="8"/>
        <v>24053776</v>
      </c>
      <c r="AB76" s="448">
        <f t="shared" si="10"/>
        <v>0.45084094073213288</v>
      </c>
      <c r="AC76" s="448">
        <f t="shared" si="11"/>
        <v>3.2712618592606831E-2</v>
      </c>
      <c r="AD76" s="448">
        <f t="shared" si="12"/>
        <v>7.5753992498930681E-3</v>
      </c>
      <c r="AE76" s="448">
        <f t="shared" si="13"/>
        <v>5.4966424731978547E-4</v>
      </c>
      <c r="AF76" s="721">
        <f t="shared" si="9"/>
        <v>1.6802820164449065E-2</v>
      </c>
    </row>
    <row r="77" spans="1:32">
      <c r="A77" s="105" t="s">
        <v>185</v>
      </c>
      <c r="B77" s="450" t="s">
        <v>186</v>
      </c>
      <c r="C77" s="450" t="s">
        <v>1382</v>
      </c>
      <c r="D77" s="450" t="s">
        <v>43</v>
      </c>
      <c r="E77" s="450" t="s">
        <v>44</v>
      </c>
      <c r="F77" s="450" t="s">
        <v>1348</v>
      </c>
      <c r="G77" s="450" t="s">
        <v>666</v>
      </c>
      <c r="H77" s="450" t="s">
        <v>62</v>
      </c>
      <c r="I77" s="450" t="s">
        <v>46</v>
      </c>
      <c r="J77" s="449">
        <v>3017735100.9203186</v>
      </c>
      <c r="K77" s="52" t="s">
        <v>182</v>
      </c>
      <c r="L77" s="52"/>
      <c r="M77" s="52"/>
      <c r="N77" s="52" t="s">
        <v>138</v>
      </c>
      <c r="O77" s="448"/>
      <c r="P77" s="52"/>
      <c r="Q77" s="434">
        <v>67878502.49000001</v>
      </c>
      <c r="R77" s="449">
        <v>30287149</v>
      </c>
      <c r="S77" s="672"/>
      <c r="T77" s="449">
        <v>30163197</v>
      </c>
      <c r="U77" s="449">
        <v>1694406</v>
      </c>
      <c r="V77" s="41">
        <v>3269650</v>
      </c>
      <c r="W77" s="672">
        <v>2457979.77</v>
      </c>
      <c r="X77" s="449">
        <v>6120.7200000001467</v>
      </c>
      <c r="Y77" s="672"/>
      <c r="Z77" s="467"/>
      <c r="AA77" s="434">
        <f t="shared" si="8"/>
        <v>65420522.719999999</v>
      </c>
      <c r="AB77" s="448">
        <f t="shared" si="10"/>
        <v>0.46296097525281282</v>
      </c>
      <c r="AC77" s="448">
        <f t="shared" si="11"/>
        <v>2.5900221055280497E-2</v>
      </c>
      <c r="AD77" s="448">
        <f t="shared" si="12"/>
        <v>1.0036384237557275E-2</v>
      </c>
      <c r="AE77" s="448">
        <f t="shared" si="13"/>
        <v>5.6148268265271428E-4</v>
      </c>
      <c r="AF77" s="721">
        <f t="shared" si="9"/>
        <v>2.1678683029550443E-2</v>
      </c>
    </row>
    <row r="78" spans="1:32">
      <c r="A78" s="105" t="s">
        <v>197</v>
      </c>
      <c r="B78" s="450" t="s">
        <v>198</v>
      </c>
      <c r="C78" s="450" t="s">
        <v>1382</v>
      </c>
      <c r="D78" s="450" t="s">
        <v>43</v>
      </c>
      <c r="E78" s="450" t="s">
        <v>44</v>
      </c>
      <c r="F78" s="450" t="s">
        <v>1348</v>
      </c>
      <c r="G78" s="450" t="s">
        <v>622</v>
      </c>
      <c r="H78" s="450" t="s">
        <v>62</v>
      </c>
      <c r="I78" s="450" t="s">
        <v>46</v>
      </c>
      <c r="J78" s="449">
        <v>3278684825.2669325</v>
      </c>
      <c r="K78" s="52" t="s">
        <v>182</v>
      </c>
      <c r="L78" s="52"/>
      <c r="M78" s="52"/>
      <c r="N78" s="52" t="s">
        <v>138</v>
      </c>
      <c r="O78" s="448"/>
      <c r="P78" s="52"/>
      <c r="Q78" s="434">
        <v>47292603</v>
      </c>
      <c r="R78" s="449">
        <v>20566165</v>
      </c>
      <c r="S78" s="672"/>
      <c r="T78" s="449">
        <v>23647215</v>
      </c>
      <c r="U78" s="449">
        <v>1261185</v>
      </c>
      <c r="V78" s="41">
        <v>1814883</v>
      </c>
      <c r="W78" s="672">
        <v>3155</v>
      </c>
      <c r="X78" s="449"/>
      <c r="Y78" s="672"/>
      <c r="Z78" s="467"/>
      <c r="AA78" s="434">
        <f t="shared" si="8"/>
        <v>47289448</v>
      </c>
      <c r="AB78" s="448">
        <f t="shared" si="10"/>
        <v>0.4348996630284202</v>
      </c>
      <c r="AC78" s="448">
        <f t="shared" si="11"/>
        <v>2.6669480261220221E-2</v>
      </c>
      <c r="AD78" s="448">
        <f t="shared" si="12"/>
        <v>6.272687402432961E-3</v>
      </c>
      <c r="AE78" s="448">
        <f t="shared" si="13"/>
        <v>3.8466185901150815E-4</v>
      </c>
      <c r="AF78" s="721">
        <f t="shared" si="9"/>
        <v>1.4423297913714519E-2</v>
      </c>
    </row>
    <row r="79" spans="1:32">
      <c r="A79" s="105" t="s">
        <v>199</v>
      </c>
      <c r="B79" s="450" t="s">
        <v>200</v>
      </c>
      <c r="C79" s="450" t="s">
        <v>1382</v>
      </c>
      <c r="D79" s="450" t="s">
        <v>43</v>
      </c>
      <c r="E79" s="450" t="s">
        <v>44</v>
      </c>
      <c r="F79" s="450" t="s">
        <v>1348</v>
      </c>
      <c r="G79" s="450" t="s">
        <v>622</v>
      </c>
      <c r="H79" s="450" t="s">
        <v>62</v>
      </c>
      <c r="I79" s="450" t="s">
        <v>46</v>
      </c>
      <c r="J79" s="449">
        <v>4230376738.6461515</v>
      </c>
      <c r="K79" s="52" t="s">
        <v>182</v>
      </c>
      <c r="L79" s="52"/>
      <c r="M79" s="52"/>
      <c r="N79" s="52" t="s">
        <v>138</v>
      </c>
      <c r="O79" s="448"/>
      <c r="P79" s="52"/>
      <c r="Q79" s="434">
        <v>58975984</v>
      </c>
      <c r="R79" s="449">
        <v>25860219</v>
      </c>
      <c r="S79" s="672"/>
      <c r="T79" s="449">
        <v>29487411</v>
      </c>
      <c r="U79" s="449">
        <v>1572662</v>
      </c>
      <c r="V79" s="41">
        <v>2053200</v>
      </c>
      <c r="W79" s="672">
        <v>2492</v>
      </c>
      <c r="X79" s="449"/>
      <c r="Y79" s="672"/>
      <c r="Z79" s="467"/>
      <c r="AA79" s="434">
        <f t="shared" si="8"/>
        <v>58973492</v>
      </c>
      <c r="AB79" s="448">
        <f t="shared" si="10"/>
        <v>0.43850581206892075</v>
      </c>
      <c r="AC79" s="448">
        <f t="shared" si="11"/>
        <v>2.66672694233538E-2</v>
      </c>
      <c r="AD79" s="448">
        <f t="shared" si="12"/>
        <v>6.1129825066776567E-3</v>
      </c>
      <c r="AE79" s="448">
        <f t="shared" si="13"/>
        <v>3.7175459708661774E-4</v>
      </c>
      <c r="AF79" s="721">
        <f t="shared" si="9"/>
        <v>1.394048228878861E-2</v>
      </c>
    </row>
    <row r="80" spans="1:32">
      <c r="A80" s="105" t="s">
        <v>203</v>
      </c>
      <c r="B80" s="450" t="s">
        <v>202</v>
      </c>
      <c r="C80" s="450" t="s">
        <v>1382</v>
      </c>
      <c r="D80" s="450" t="s">
        <v>43</v>
      </c>
      <c r="E80" s="450" t="s">
        <v>44</v>
      </c>
      <c r="F80" s="450" t="s">
        <v>1348</v>
      </c>
      <c r="G80" s="450" t="s">
        <v>56</v>
      </c>
      <c r="H80" s="450" t="s">
        <v>45</v>
      </c>
      <c r="I80" s="450" t="s">
        <v>46</v>
      </c>
      <c r="J80" s="449">
        <v>949907055.89243031</v>
      </c>
      <c r="K80" s="52" t="s">
        <v>204</v>
      </c>
      <c r="L80" s="52"/>
      <c r="M80" s="52"/>
      <c r="N80" s="52" t="s">
        <v>194</v>
      </c>
      <c r="O80" s="448"/>
      <c r="P80" s="52"/>
      <c r="Q80" s="468">
        <v>5719194</v>
      </c>
      <c r="R80" s="469">
        <v>2835150</v>
      </c>
      <c r="S80" s="674"/>
      <c r="T80" s="469">
        <v>943993</v>
      </c>
      <c r="U80" s="469">
        <v>473775</v>
      </c>
      <c r="V80" s="41">
        <v>1456478</v>
      </c>
      <c r="W80" s="672">
        <v>9798</v>
      </c>
      <c r="X80" s="469"/>
      <c r="Y80" s="674"/>
      <c r="Z80" s="470"/>
      <c r="AA80" s="468">
        <f t="shared" si="8"/>
        <v>5709396</v>
      </c>
      <c r="AB80" s="471">
        <f t="shared" si="10"/>
        <v>0.49657617022886485</v>
      </c>
      <c r="AC80" s="471">
        <f t="shared" si="11"/>
        <v>8.298163238282999E-2</v>
      </c>
      <c r="AD80" s="471">
        <f t="shared" si="12"/>
        <v>2.9846604279998726E-3</v>
      </c>
      <c r="AE80" s="471">
        <f t="shared" si="13"/>
        <v>4.9875932288437634E-4</v>
      </c>
      <c r="AF80" s="724">
        <f t="shared" si="9"/>
        <v>6.0104785669120716E-3</v>
      </c>
    </row>
    <row r="81" spans="1:32">
      <c r="A81" s="105" t="s">
        <v>205</v>
      </c>
      <c r="B81" s="450" t="s">
        <v>206</v>
      </c>
      <c r="C81" s="450" t="s">
        <v>1382</v>
      </c>
      <c r="D81" s="450" t="s">
        <v>43</v>
      </c>
      <c r="E81" s="450" t="s">
        <v>44</v>
      </c>
      <c r="F81" s="450" t="s">
        <v>1348</v>
      </c>
      <c r="G81" s="450" t="s">
        <v>56</v>
      </c>
      <c r="H81" s="450" t="s">
        <v>45</v>
      </c>
      <c r="I81" s="450" t="s">
        <v>46</v>
      </c>
      <c r="J81" s="449">
        <v>218594365.0625</v>
      </c>
      <c r="K81" s="52" t="s">
        <v>207</v>
      </c>
      <c r="L81" s="52"/>
      <c r="M81" s="52"/>
      <c r="N81" s="52">
        <v>0</v>
      </c>
      <c r="O81" s="448"/>
      <c r="P81" s="52"/>
      <c r="Q81" s="468">
        <v>100965</v>
      </c>
      <c r="R81" s="469"/>
      <c r="S81" s="674"/>
      <c r="T81" s="469"/>
      <c r="U81" s="469"/>
      <c r="V81" s="41">
        <v>100965</v>
      </c>
      <c r="W81" s="672">
        <v>0</v>
      </c>
      <c r="X81" s="469"/>
      <c r="Y81" s="674"/>
      <c r="Z81" s="470"/>
      <c r="AA81" s="468">
        <f t="shared" si="8"/>
        <v>100965</v>
      </c>
      <c r="AB81" s="471">
        <f t="shared" si="10"/>
        <v>0</v>
      </c>
      <c r="AC81" s="471">
        <f t="shared" si="11"/>
        <v>0</v>
      </c>
      <c r="AD81" s="471">
        <f t="shared" si="12"/>
        <v>0</v>
      </c>
      <c r="AE81" s="471">
        <f t="shared" si="13"/>
        <v>0</v>
      </c>
      <c r="AF81" s="724">
        <f t="shared" si="9"/>
        <v>4.6188290339109299E-4</v>
      </c>
    </row>
    <row r="82" spans="1:32">
      <c r="A82" s="105" t="s">
        <v>208</v>
      </c>
      <c r="B82" s="450" t="s">
        <v>209</v>
      </c>
      <c r="C82" s="450" t="s">
        <v>1382</v>
      </c>
      <c r="D82" s="450" t="s">
        <v>43</v>
      </c>
      <c r="E82" s="450" t="s">
        <v>44</v>
      </c>
      <c r="F82" s="450" t="s">
        <v>1348</v>
      </c>
      <c r="G82" s="450" t="s">
        <v>48</v>
      </c>
      <c r="H82" s="450" t="s">
        <v>45</v>
      </c>
      <c r="I82" s="450" t="s">
        <v>46</v>
      </c>
      <c r="J82" s="449">
        <v>10006681638.780876</v>
      </c>
      <c r="K82" s="52" t="s">
        <v>154</v>
      </c>
      <c r="L82" s="52"/>
      <c r="M82" s="52"/>
      <c r="N82" s="52" t="s">
        <v>161</v>
      </c>
      <c r="O82" s="448"/>
      <c r="P82" s="52"/>
      <c r="Q82" s="434">
        <v>160678490</v>
      </c>
      <c r="R82" s="449">
        <v>72890221</v>
      </c>
      <c r="S82" s="672"/>
      <c r="T82" s="449">
        <v>77463040</v>
      </c>
      <c r="U82" s="449">
        <v>4009369</v>
      </c>
      <c r="V82" s="41">
        <v>6240809</v>
      </c>
      <c r="W82" s="672">
        <v>75051</v>
      </c>
      <c r="X82" s="449"/>
      <c r="Y82" s="672"/>
      <c r="Z82" s="467"/>
      <c r="AA82" s="434">
        <f t="shared" si="8"/>
        <v>160603439</v>
      </c>
      <c r="AB82" s="448">
        <f t="shared" si="10"/>
        <v>0.45385218058749038</v>
      </c>
      <c r="AC82" s="448">
        <f t="shared" si="11"/>
        <v>2.4964403159511421E-2</v>
      </c>
      <c r="AD82" s="448">
        <f t="shared" si="12"/>
        <v>7.2841550906860156E-3</v>
      </c>
      <c r="AE82" s="448">
        <f t="shared" si="13"/>
        <v>4.0066918732196874E-4</v>
      </c>
      <c r="AF82" s="721">
        <f t="shared" si="9"/>
        <v>1.60496201235764E-2</v>
      </c>
    </row>
    <row r="83" spans="1:32">
      <c r="A83" s="105" t="s">
        <v>220</v>
      </c>
      <c r="B83" s="450" t="s">
        <v>221</v>
      </c>
      <c r="C83" s="450" t="s">
        <v>1382</v>
      </c>
      <c r="D83" s="450" t="s">
        <v>43</v>
      </c>
      <c r="E83" s="450" t="s">
        <v>44</v>
      </c>
      <c r="F83" s="450" t="s">
        <v>1348</v>
      </c>
      <c r="G83" s="450" t="s">
        <v>1350</v>
      </c>
      <c r="H83" s="450" t="s">
        <v>62</v>
      </c>
      <c r="I83" s="450" t="s">
        <v>46</v>
      </c>
      <c r="J83" s="449">
        <v>721339773.64940238</v>
      </c>
      <c r="K83" s="52" t="s">
        <v>182</v>
      </c>
      <c r="L83" s="52"/>
      <c r="M83" s="52"/>
      <c r="N83" s="52" t="s">
        <v>138</v>
      </c>
      <c r="O83" s="448"/>
      <c r="P83" s="52"/>
      <c r="Q83" s="434">
        <v>6331927</v>
      </c>
      <c r="R83" s="449">
        <v>1804190</v>
      </c>
      <c r="S83" s="672"/>
      <c r="T83" s="449">
        <v>1263466</v>
      </c>
      <c r="U83" s="449">
        <v>600000</v>
      </c>
      <c r="V83" s="41">
        <v>2114577</v>
      </c>
      <c r="W83" s="672">
        <v>549694</v>
      </c>
      <c r="X83" s="449"/>
      <c r="Y83" s="672"/>
      <c r="Z83" s="467"/>
      <c r="AA83" s="434">
        <f t="shared" si="8"/>
        <v>5782233</v>
      </c>
      <c r="AB83" s="448">
        <f t="shared" si="10"/>
        <v>0.31202305406924974</v>
      </c>
      <c r="AC83" s="448">
        <f t="shared" si="11"/>
        <v>0.10376614017456577</v>
      </c>
      <c r="AD83" s="448">
        <f t="shared" si="12"/>
        <v>2.5011652842491152E-3</v>
      </c>
      <c r="AE83" s="448">
        <f t="shared" si="13"/>
        <v>8.3178554949837273E-4</v>
      </c>
      <c r="AF83" s="721">
        <f t="shared" si="9"/>
        <v>8.0159630887210401E-3</v>
      </c>
    </row>
    <row r="84" spans="1:32">
      <c r="A84" s="105" t="s">
        <v>222</v>
      </c>
      <c r="B84" s="450" t="s">
        <v>223</v>
      </c>
      <c r="C84" s="450" t="s">
        <v>1382</v>
      </c>
      <c r="D84" s="450" t="s">
        <v>43</v>
      </c>
      <c r="E84" s="450" t="s">
        <v>44</v>
      </c>
      <c r="F84" s="450" t="s">
        <v>1348</v>
      </c>
      <c r="G84" s="450" t="s">
        <v>759</v>
      </c>
      <c r="H84" s="450" t="s">
        <v>62</v>
      </c>
      <c r="I84" s="450" t="s">
        <v>46</v>
      </c>
      <c r="J84" s="449">
        <v>14106324914.139442</v>
      </c>
      <c r="K84" s="52" t="s">
        <v>182</v>
      </c>
      <c r="L84" s="52"/>
      <c r="M84" s="52"/>
      <c r="N84" s="52" t="s">
        <v>138</v>
      </c>
      <c r="O84" s="448"/>
      <c r="P84" s="52"/>
      <c r="Q84" s="434">
        <v>295120334.10000002</v>
      </c>
      <c r="R84" s="449">
        <v>141663020</v>
      </c>
      <c r="S84" s="672"/>
      <c r="T84" s="449">
        <v>141016004</v>
      </c>
      <c r="U84" s="449">
        <v>6170107</v>
      </c>
      <c r="V84" s="41">
        <v>6151050</v>
      </c>
      <c r="W84" s="672">
        <v>120153.1</v>
      </c>
      <c r="X84" s="449"/>
      <c r="Y84" s="672"/>
      <c r="Z84" s="467"/>
      <c r="AA84" s="434">
        <f t="shared" si="8"/>
        <v>295000181</v>
      </c>
      <c r="AB84" s="448">
        <f t="shared" si="10"/>
        <v>0.48021333247927733</v>
      </c>
      <c r="AC84" s="448">
        <f t="shared" si="11"/>
        <v>2.091560411618866E-2</v>
      </c>
      <c r="AD84" s="448">
        <f t="shared" si="12"/>
        <v>1.0042517867854043E-2</v>
      </c>
      <c r="AE84" s="448">
        <f t="shared" si="13"/>
        <v>4.3740003420844273E-4</v>
      </c>
      <c r="AF84" s="721">
        <f t="shared" si="9"/>
        <v>2.0912617765120895E-2</v>
      </c>
    </row>
    <row r="85" spans="1:32">
      <c r="A85" s="105" t="s">
        <v>224</v>
      </c>
      <c r="B85" s="450" t="s">
        <v>225</v>
      </c>
      <c r="C85" s="450" t="s">
        <v>1382</v>
      </c>
      <c r="D85" s="450" t="s">
        <v>43</v>
      </c>
      <c r="E85" s="450" t="s">
        <v>44</v>
      </c>
      <c r="F85" s="450" t="s">
        <v>1348</v>
      </c>
      <c r="G85" s="450" t="s">
        <v>830</v>
      </c>
      <c r="H85" s="450" t="s">
        <v>62</v>
      </c>
      <c r="I85" s="450" t="s">
        <v>226</v>
      </c>
      <c r="J85" s="449">
        <v>63801192.301593609</v>
      </c>
      <c r="K85" s="52" t="s">
        <v>182</v>
      </c>
      <c r="L85" s="52"/>
      <c r="M85" s="52"/>
      <c r="N85" s="52" t="s">
        <v>161</v>
      </c>
      <c r="O85" s="448"/>
      <c r="P85" s="52"/>
      <c r="Q85" s="434">
        <v>1023721.0348504041</v>
      </c>
      <c r="R85" s="449">
        <v>317377.5</v>
      </c>
      <c r="S85" s="672"/>
      <c r="T85" s="449">
        <v>450944.2</v>
      </c>
      <c r="U85" s="449">
        <v>42648.389999999992</v>
      </c>
      <c r="V85" s="41">
        <v>73405.161152073735</v>
      </c>
      <c r="W85" s="672">
        <v>133651.81219833074</v>
      </c>
      <c r="X85" s="449"/>
      <c r="Y85" s="672"/>
      <c r="Z85" s="467"/>
      <c r="AA85" s="434">
        <f t="shared" si="8"/>
        <v>884375.25115207373</v>
      </c>
      <c r="AB85" s="448">
        <f t="shared" si="10"/>
        <v>0.35887198289024147</v>
      </c>
      <c r="AC85" s="448">
        <f t="shared" si="11"/>
        <v>4.8224314220057636E-2</v>
      </c>
      <c r="AD85" s="448">
        <f t="shared" si="12"/>
        <v>4.974476001948832E-3</v>
      </c>
      <c r="AE85" s="448">
        <f t="shared" si="13"/>
        <v>6.6845757048547712E-4</v>
      </c>
      <c r="AF85" s="721">
        <f t="shared" si="9"/>
        <v>1.3861422008722932E-2</v>
      </c>
    </row>
    <row r="86" spans="1:32" ht="25.5">
      <c r="A86" s="105" t="s">
        <v>227</v>
      </c>
      <c r="B86" s="450" t="s">
        <v>228</v>
      </c>
      <c r="C86" s="450" t="s">
        <v>1382</v>
      </c>
      <c r="D86" s="450" t="s">
        <v>43</v>
      </c>
      <c r="E86" s="450" t="s">
        <v>44</v>
      </c>
      <c r="F86" s="450" t="s">
        <v>1348</v>
      </c>
      <c r="G86" s="450" t="s">
        <v>97</v>
      </c>
      <c r="H86" s="450" t="s">
        <v>45</v>
      </c>
      <c r="I86" s="450" t="s">
        <v>46</v>
      </c>
      <c r="J86" s="449">
        <v>3686710844.5813951</v>
      </c>
      <c r="K86" s="52" t="s">
        <v>182</v>
      </c>
      <c r="L86" s="52"/>
      <c r="M86" s="52"/>
      <c r="N86" s="52" t="s">
        <v>229</v>
      </c>
      <c r="O86" s="448"/>
      <c r="P86" s="52"/>
      <c r="Q86" s="434">
        <v>9015648</v>
      </c>
      <c r="R86" s="449">
        <v>3523245</v>
      </c>
      <c r="S86" s="672"/>
      <c r="T86" s="449">
        <v>3400708</v>
      </c>
      <c r="U86" s="449">
        <v>318453</v>
      </c>
      <c r="V86" s="41">
        <v>605512</v>
      </c>
      <c r="W86" s="672">
        <v>1167730</v>
      </c>
      <c r="X86" s="449"/>
      <c r="Y86" s="672"/>
      <c r="Z86" s="467"/>
      <c r="AA86" s="716">
        <f t="shared" si="8"/>
        <v>7847918</v>
      </c>
      <c r="AB86" s="448">
        <f t="shared" si="10"/>
        <v>0.44894008831386872</v>
      </c>
      <c r="AC86" s="448">
        <f t="shared" si="11"/>
        <v>4.0578023368745698E-2</v>
      </c>
      <c r="AD86" s="448">
        <f t="shared" si="12"/>
        <v>9.5566079047895724E-4</v>
      </c>
      <c r="AE86" s="448">
        <f t="shared" si="13"/>
        <v>8.6378621330732136E-5</v>
      </c>
      <c r="AF86" s="721">
        <f t="shared" si="9"/>
        <v>2.1287045094774948E-3</v>
      </c>
    </row>
    <row r="87" spans="1:32">
      <c r="A87" s="105" t="s">
        <v>230</v>
      </c>
      <c r="B87" s="450" t="s">
        <v>231</v>
      </c>
      <c r="C87" s="450" t="s">
        <v>1382</v>
      </c>
      <c r="D87" s="450" t="s">
        <v>43</v>
      </c>
      <c r="E87" s="450" t="s">
        <v>44</v>
      </c>
      <c r="F87" s="450" t="s">
        <v>1348</v>
      </c>
      <c r="G87" s="450" t="s">
        <v>1350</v>
      </c>
      <c r="H87" s="450" t="s">
        <v>62</v>
      </c>
      <c r="I87" s="450" t="s">
        <v>226</v>
      </c>
      <c r="J87" s="449">
        <v>402676904.79497987</v>
      </c>
      <c r="K87" s="52" t="s">
        <v>219</v>
      </c>
      <c r="L87" s="52"/>
      <c r="M87" s="52"/>
      <c r="N87" s="52" t="s">
        <v>138</v>
      </c>
      <c r="O87" s="448"/>
      <c r="P87" s="52"/>
      <c r="Q87" s="434">
        <v>5183652.2619843036</v>
      </c>
      <c r="R87" s="449">
        <v>1943985.0599999998</v>
      </c>
      <c r="S87" s="672"/>
      <c r="T87" s="449">
        <v>2897358.31</v>
      </c>
      <c r="U87" s="449">
        <v>197127.36000000002</v>
      </c>
      <c r="V87" s="41">
        <v>125376.16115207374</v>
      </c>
      <c r="W87" s="672">
        <v>19805.370832230579</v>
      </c>
      <c r="X87" s="449"/>
      <c r="Y87" s="672"/>
      <c r="Z87" s="467"/>
      <c r="AA87" s="434">
        <f t="shared" si="8"/>
        <v>5163846.8911520746</v>
      </c>
      <c r="AB87" s="448">
        <f t="shared" si="10"/>
        <v>0.37646063118774792</v>
      </c>
      <c r="AC87" s="448">
        <f t="shared" si="11"/>
        <v>3.8174516819575982E-2</v>
      </c>
      <c r="AD87" s="448">
        <f t="shared" si="12"/>
        <v>4.8276547198299498E-3</v>
      </c>
      <c r="AE87" s="448">
        <f t="shared" si="13"/>
        <v>4.8954225497577523E-4</v>
      </c>
      <c r="AF87" s="721">
        <f t="shared" si="9"/>
        <v>1.282379701855812E-2</v>
      </c>
    </row>
    <row r="88" spans="1:32" ht="25.5">
      <c r="A88" s="105" t="s">
        <v>232</v>
      </c>
      <c r="B88" s="450" t="s">
        <v>233</v>
      </c>
      <c r="C88" s="450" t="s">
        <v>1382</v>
      </c>
      <c r="D88" s="450" t="s">
        <v>43</v>
      </c>
      <c r="E88" s="450" t="s">
        <v>44</v>
      </c>
      <c r="F88" s="450" t="s">
        <v>1348</v>
      </c>
      <c r="G88" s="450" t="s">
        <v>97</v>
      </c>
      <c r="H88" s="450" t="s">
        <v>62</v>
      </c>
      <c r="I88" s="450" t="s">
        <v>46</v>
      </c>
      <c r="J88" s="449">
        <v>1265259495.5976095</v>
      </c>
      <c r="K88" s="52" t="s">
        <v>182</v>
      </c>
      <c r="L88" s="52"/>
      <c r="M88" s="52"/>
      <c r="N88" s="52" t="s">
        <v>229</v>
      </c>
      <c r="O88" s="448"/>
      <c r="P88" s="52"/>
      <c r="Q88" s="434">
        <v>28102150.18</v>
      </c>
      <c r="R88" s="449">
        <v>12399019</v>
      </c>
      <c r="S88" s="672"/>
      <c r="T88" s="449">
        <v>12834199</v>
      </c>
      <c r="U88" s="449">
        <v>746338</v>
      </c>
      <c r="V88" s="41">
        <v>1615574</v>
      </c>
      <c r="W88" s="672">
        <v>507020.18</v>
      </c>
      <c r="X88" s="449"/>
      <c r="Y88" s="672"/>
      <c r="Z88" s="467"/>
      <c r="AA88" s="434">
        <f t="shared" si="8"/>
        <v>27595130</v>
      </c>
      <c r="AB88" s="448">
        <f t="shared" si="10"/>
        <v>0.44931910087033472</v>
      </c>
      <c r="AC88" s="448">
        <f t="shared" si="11"/>
        <v>2.7046004131888488E-2</v>
      </c>
      <c r="AD88" s="448">
        <f t="shared" si="12"/>
        <v>9.7995858107697304E-3</v>
      </c>
      <c r="AE88" s="448">
        <f t="shared" si="13"/>
        <v>5.8986951103456322E-4</v>
      </c>
      <c r="AF88" s="721">
        <f t="shared" si="9"/>
        <v>2.1809858053636832E-2</v>
      </c>
    </row>
    <row r="89" spans="1:32">
      <c r="A89" s="105" t="s">
        <v>237</v>
      </c>
      <c r="B89" s="450" t="s">
        <v>238</v>
      </c>
      <c r="C89" s="450" t="s">
        <v>1382</v>
      </c>
      <c r="D89" s="450" t="s">
        <v>43</v>
      </c>
      <c r="E89" s="450" t="s">
        <v>44</v>
      </c>
      <c r="F89" s="450" t="s">
        <v>1348</v>
      </c>
      <c r="G89" s="450" t="s">
        <v>81</v>
      </c>
      <c r="H89" s="450" t="s">
        <v>62</v>
      </c>
      <c r="I89" s="450" t="s">
        <v>239</v>
      </c>
      <c r="J89" s="449">
        <v>6636233.7213545842</v>
      </c>
      <c r="K89" s="52" t="s">
        <v>240</v>
      </c>
      <c r="L89" s="52"/>
      <c r="M89" s="52"/>
      <c r="N89" s="52" t="s">
        <v>138</v>
      </c>
      <c r="O89" s="448"/>
      <c r="P89" s="52"/>
      <c r="Q89" s="434">
        <v>79172.301882899992</v>
      </c>
      <c r="R89" s="449">
        <v>33335.800000000003</v>
      </c>
      <c r="S89" s="672"/>
      <c r="T89" s="449">
        <v>33228.339999999997</v>
      </c>
      <c r="U89" s="449">
        <v>3908.9168107406208</v>
      </c>
      <c r="V89" s="41">
        <v>5789.667905671753</v>
      </c>
      <c r="W89" s="672">
        <v>2909.5771664875947</v>
      </c>
      <c r="X89" s="449"/>
      <c r="Y89" s="672"/>
      <c r="Z89" s="467"/>
      <c r="AA89" s="434">
        <f t="shared" ref="AA89:AA120" si="14">+R89+T89+U89+V89+X89</f>
        <v>76262.724716412369</v>
      </c>
      <c r="AB89" s="448">
        <f t="shared" si="10"/>
        <v>0.43711787277416619</v>
      </c>
      <c r="AC89" s="448">
        <f t="shared" si="11"/>
        <v>5.1255929096110431E-2</v>
      </c>
      <c r="AD89" s="448">
        <f t="shared" si="12"/>
        <v>5.0233010770445738E-3</v>
      </c>
      <c r="AE89" s="448">
        <f t="shared" si="13"/>
        <v>5.8902639281106198E-4</v>
      </c>
      <c r="AF89" s="721">
        <f t="shared" ref="AF89:AF120" si="15">+(AA89/J89)+Z89</f>
        <v>1.1491868417926316E-2</v>
      </c>
    </row>
    <row r="90" spans="1:32">
      <c r="A90" s="105" t="s">
        <v>244</v>
      </c>
      <c r="B90" s="450" t="s">
        <v>245</v>
      </c>
      <c r="C90" s="450" t="s">
        <v>1382</v>
      </c>
      <c r="D90" s="450" t="s">
        <v>43</v>
      </c>
      <c r="E90" s="450" t="s">
        <v>44</v>
      </c>
      <c r="F90" s="450" t="s">
        <v>1348</v>
      </c>
      <c r="G90" s="450" t="s">
        <v>58</v>
      </c>
      <c r="H90" s="450" t="s">
        <v>62</v>
      </c>
      <c r="I90" s="450" t="s">
        <v>69</v>
      </c>
      <c r="J90" s="449">
        <v>1920203.4417928294</v>
      </c>
      <c r="K90" s="52" t="s">
        <v>182</v>
      </c>
      <c r="L90" s="52"/>
      <c r="M90" s="52"/>
      <c r="N90" s="52" t="s">
        <v>194</v>
      </c>
      <c r="O90" s="448"/>
      <c r="P90" s="52"/>
      <c r="Q90" s="434">
        <v>48917.283013437765</v>
      </c>
      <c r="R90" s="449">
        <v>23770.32</v>
      </c>
      <c r="S90" s="672"/>
      <c r="T90" s="449">
        <v>17147.010000000002</v>
      </c>
      <c r="U90" s="449">
        <v>2312.1999999999998</v>
      </c>
      <c r="V90" s="41">
        <v>4701.7873379115326</v>
      </c>
      <c r="W90" s="672">
        <v>985.9656755262356</v>
      </c>
      <c r="X90" s="449"/>
      <c r="Y90" s="672"/>
      <c r="Z90" s="467"/>
      <c r="AA90" s="434">
        <f t="shared" si="14"/>
        <v>47931.317337911532</v>
      </c>
      <c r="AB90" s="448">
        <f t="shared" si="10"/>
        <v>0.49592461297112606</v>
      </c>
      <c r="AC90" s="448">
        <f t="shared" si="11"/>
        <v>4.8239859207273507E-2</v>
      </c>
      <c r="AD90" s="448">
        <f t="shared" si="12"/>
        <v>1.2379063323522871E-2</v>
      </c>
      <c r="AE90" s="448">
        <f t="shared" si="13"/>
        <v>1.2041432431978021E-3</v>
      </c>
      <c r="AF90" s="721">
        <f t="shared" si="15"/>
        <v>2.4961582869135822E-2</v>
      </c>
    </row>
    <row r="91" spans="1:32">
      <c r="A91" s="105" t="s">
        <v>253</v>
      </c>
      <c r="B91" s="450" t="s">
        <v>254</v>
      </c>
      <c r="C91" s="450" t="s">
        <v>1382</v>
      </c>
      <c r="D91" s="450" t="s">
        <v>43</v>
      </c>
      <c r="E91" s="450" t="s">
        <v>44</v>
      </c>
      <c r="F91" s="450" t="s">
        <v>1348</v>
      </c>
      <c r="G91" s="450" t="s">
        <v>81</v>
      </c>
      <c r="H91" s="450" t="s">
        <v>62</v>
      </c>
      <c r="I91" s="450" t="s">
        <v>46</v>
      </c>
      <c r="J91" s="449">
        <v>11936424037.521912</v>
      </c>
      <c r="K91" s="52" t="s">
        <v>240</v>
      </c>
      <c r="L91" s="52"/>
      <c r="M91" s="52"/>
      <c r="N91" s="52" t="s">
        <v>255</v>
      </c>
      <c r="O91" s="448"/>
      <c r="P91" s="52"/>
      <c r="Q91" s="434">
        <v>161345906</v>
      </c>
      <c r="R91" s="449">
        <v>71817665</v>
      </c>
      <c r="S91" s="672"/>
      <c r="T91" s="449">
        <v>71610055</v>
      </c>
      <c r="U91" s="449">
        <v>11223300</v>
      </c>
      <c r="V91" s="41">
        <v>6078722</v>
      </c>
      <c r="W91" s="672">
        <v>616164</v>
      </c>
      <c r="X91" s="449"/>
      <c r="Y91" s="672"/>
      <c r="Z91" s="467"/>
      <c r="AA91" s="434">
        <f t="shared" si="14"/>
        <v>160729742</v>
      </c>
      <c r="AB91" s="448">
        <f t="shared" si="10"/>
        <v>0.44682249909913996</v>
      </c>
      <c r="AC91" s="448">
        <f t="shared" si="11"/>
        <v>6.9827151218845362E-2</v>
      </c>
      <c r="AD91" s="448">
        <f t="shared" si="12"/>
        <v>6.0166817779129323E-3</v>
      </c>
      <c r="AE91" s="448">
        <f t="shared" si="13"/>
        <v>9.402564758691363E-4</v>
      </c>
      <c r="AF91" s="721">
        <f t="shared" si="15"/>
        <v>1.3465485265499051E-2</v>
      </c>
    </row>
    <row r="92" spans="1:32">
      <c r="A92" s="105" t="s">
        <v>262</v>
      </c>
      <c r="B92" s="450" t="s">
        <v>263</v>
      </c>
      <c r="C92" s="450" t="s">
        <v>1382</v>
      </c>
      <c r="D92" s="450" t="s">
        <v>43</v>
      </c>
      <c r="E92" s="450" t="s">
        <v>44</v>
      </c>
      <c r="F92" s="450" t="s">
        <v>1348</v>
      </c>
      <c r="G92" s="450" t="s">
        <v>58</v>
      </c>
      <c r="H92" s="450" t="s">
        <v>62</v>
      </c>
      <c r="I92" s="450" t="s">
        <v>46</v>
      </c>
      <c r="J92" s="449">
        <v>589778949.54581678</v>
      </c>
      <c r="K92" s="52" t="s">
        <v>182</v>
      </c>
      <c r="L92" s="52"/>
      <c r="M92" s="52"/>
      <c r="N92" s="52" t="s">
        <v>264</v>
      </c>
      <c r="O92" s="448"/>
      <c r="P92" s="52"/>
      <c r="Q92" s="434">
        <v>24790401</v>
      </c>
      <c r="R92" s="449">
        <v>6033546</v>
      </c>
      <c r="S92" s="672"/>
      <c r="T92" s="449">
        <v>5720463</v>
      </c>
      <c r="U92" s="449">
        <v>3500460</v>
      </c>
      <c r="V92" s="41">
        <v>1436500</v>
      </c>
      <c r="W92" s="672">
        <v>8099432.4000000004</v>
      </c>
      <c r="X92" s="449"/>
      <c r="Y92" s="672"/>
      <c r="Z92" s="467"/>
      <c r="AA92" s="434">
        <f t="shared" si="14"/>
        <v>16690969</v>
      </c>
      <c r="AB92" s="448">
        <f t="shared" si="10"/>
        <v>0.36148566329492315</v>
      </c>
      <c r="AC92" s="448">
        <f t="shared" si="11"/>
        <v>0.20972179626000145</v>
      </c>
      <c r="AD92" s="448">
        <f t="shared" si="12"/>
        <v>1.0230182010813334E-2</v>
      </c>
      <c r="AE92" s="448">
        <f t="shared" si="13"/>
        <v>5.9352067460116563E-3</v>
      </c>
      <c r="AF92" s="721">
        <f t="shared" si="15"/>
        <v>2.8300381037426919E-2</v>
      </c>
    </row>
    <row r="93" spans="1:32">
      <c r="A93" s="105" t="s">
        <v>268</v>
      </c>
      <c r="B93" s="450" t="s">
        <v>269</v>
      </c>
      <c r="C93" s="450" t="s">
        <v>1382</v>
      </c>
      <c r="D93" s="450" t="s">
        <v>43</v>
      </c>
      <c r="E93" s="450" t="s">
        <v>44</v>
      </c>
      <c r="F93" s="450" t="s">
        <v>1348</v>
      </c>
      <c r="G93" s="450" t="s">
        <v>759</v>
      </c>
      <c r="H93" s="450" t="s">
        <v>62</v>
      </c>
      <c r="I93" s="450" t="s">
        <v>46</v>
      </c>
      <c r="J93" s="449">
        <v>1656138094.7051792</v>
      </c>
      <c r="K93" s="52" t="s">
        <v>182</v>
      </c>
      <c r="L93" s="52"/>
      <c r="M93" s="52"/>
      <c r="N93" s="52" t="s">
        <v>270</v>
      </c>
      <c r="O93" s="448"/>
      <c r="P93" s="52"/>
      <c r="Q93" s="434">
        <v>36245817.329999998</v>
      </c>
      <c r="R93" s="449">
        <v>24658063</v>
      </c>
      <c r="S93" s="672"/>
      <c r="T93" s="449">
        <v>8757530</v>
      </c>
      <c r="U93" s="449">
        <v>920987</v>
      </c>
      <c r="V93" s="41">
        <v>1702500</v>
      </c>
      <c r="W93" s="672">
        <v>206737.33</v>
      </c>
      <c r="X93" s="449"/>
      <c r="Y93" s="672"/>
      <c r="Z93" s="467"/>
      <c r="AA93" s="434">
        <f t="shared" si="14"/>
        <v>36039080</v>
      </c>
      <c r="AB93" s="448">
        <f t="shared" si="10"/>
        <v>0.6842034535842757</v>
      </c>
      <c r="AC93" s="448">
        <f t="shared" si="11"/>
        <v>2.5555230599671245E-2</v>
      </c>
      <c r="AD93" s="448">
        <f t="shared" si="12"/>
        <v>1.4888893069263982E-2</v>
      </c>
      <c r="AE93" s="448">
        <f t="shared" si="13"/>
        <v>5.5610519614546477E-4</v>
      </c>
      <c r="AF93" s="721">
        <f t="shared" si="15"/>
        <v>2.1760914814543633E-2</v>
      </c>
    </row>
    <row r="94" spans="1:32">
      <c r="A94" s="105" t="s">
        <v>278</v>
      </c>
      <c r="B94" s="450" t="s">
        <v>279</v>
      </c>
      <c r="C94" s="450" t="s">
        <v>1382</v>
      </c>
      <c r="D94" s="450" t="s">
        <v>43</v>
      </c>
      <c r="E94" s="450" t="s">
        <v>44</v>
      </c>
      <c r="F94" s="450" t="s">
        <v>1348</v>
      </c>
      <c r="G94" s="450" t="s">
        <v>58</v>
      </c>
      <c r="H94" s="450" t="s">
        <v>62</v>
      </c>
      <c r="I94" s="450" t="s">
        <v>46</v>
      </c>
      <c r="J94" s="449">
        <v>670884050.87250996</v>
      </c>
      <c r="K94" s="52" t="s">
        <v>182</v>
      </c>
      <c r="L94" s="52"/>
      <c r="M94" s="52"/>
      <c r="N94" s="52" t="s">
        <v>280</v>
      </c>
      <c r="O94" s="448"/>
      <c r="P94" s="52"/>
      <c r="Q94" s="434">
        <v>23089051.140000001</v>
      </c>
      <c r="R94" s="449">
        <v>7076328</v>
      </c>
      <c r="S94" s="672"/>
      <c r="T94" s="449">
        <v>6418211</v>
      </c>
      <c r="U94" s="449">
        <v>1081117</v>
      </c>
      <c r="V94" s="41">
        <v>1456500</v>
      </c>
      <c r="W94" s="672">
        <v>7056895.1399999997</v>
      </c>
      <c r="X94" s="449"/>
      <c r="Y94" s="672"/>
      <c r="Z94" s="467"/>
      <c r="AA94" s="434">
        <f t="shared" si="14"/>
        <v>16032156</v>
      </c>
      <c r="AB94" s="448">
        <f t="shared" si="10"/>
        <v>0.44138342965225635</v>
      </c>
      <c r="AC94" s="448">
        <f t="shared" si="11"/>
        <v>6.7434286442821539E-2</v>
      </c>
      <c r="AD94" s="448">
        <f t="shared" si="12"/>
        <v>1.0547766027224778E-2</v>
      </c>
      <c r="AE94" s="448">
        <f t="shared" si="13"/>
        <v>1.6114811472920942E-3</v>
      </c>
      <c r="AF94" s="721">
        <f t="shared" si="15"/>
        <v>2.3897059378814534E-2</v>
      </c>
    </row>
    <row r="95" spans="1:32">
      <c r="A95" s="105" t="s">
        <v>286</v>
      </c>
      <c r="B95" s="450" t="s">
        <v>287</v>
      </c>
      <c r="C95" s="450" t="s">
        <v>1382</v>
      </c>
      <c r="D95" s="450" t="s">
        <v>43</v>
      </c>
      <c r="E95" s="450" t="s">
        <v>44</v>
      </c>
      <c r="F95" s="450" t="s">
        <v>1348</v>
      </c>
      <c r="G95" s="450" t="s">
        <v>58</v>
      </c>
      <c r="H95" s="450" t="s">
        <v>62</v>
      </c>
      <c r="I95" s="450" t="s">
        <v>46</v>
      </c>
      <c r="J95" s="449">
        <v>3603429629.8326693</v>
      </c>
      <c r="K95" s="52" t="s">
        <v>182</v>
      </c>
      <c r="L95" s="52"/>
      <c r="M95" s="52"/>
      <c r="N95" s="52" t="s">
        <v>138</v>
      </c>
      <c r="O95" s="448"/>
      <c r="P95" s="52"/>
      <c r="Q95" s="434">
        <v>81692810.50999999</v>
      </c>
      <c r="R95" s="449">
        <v>37632621</v>
      </c>
      <c r="S95" s="672"/>
      <c r="T95" s="449">
        <v>38545480</v>
      </c>
      <c r="U95" s="449">
        <v>1860692</v>
      </c>
      <c r="V95" s="41">
        <v>3516450</v>
      </c>
      <c r="W95" s="672">
        <v>137567.51</v>
      </c>
      <c r="X95" s="449"/>
      <c r="Y95" s="672"/>
      <c r="Z95" s="467"/>
      <c r="AA95" s="434">
        <f t="shared" si="14"/>
        <v>81555243</v>
      </c>
      <c r="AB95" s="448">
        <f t="shared" si="10"/>
        <v>0.46143717578034804</v>
      </c>
      <c r="AC95" s="448">
        <f t="shared" si="11"/>
        <v>2.281511196036777E-2</v>
      </c>
      <c r="AD95" s="448">
        <f t="shared" si="12"/>
        <v>1.0443556518612389E-2</v>
      </c>
      <c r="AE95" s="448">
        <f t="shared" si="13"/>
        <v>5.1636695902020546E-4</v>
      </c>
      <c r="AF95" s="721">
        <f t="shared" si="15"/>
        <v>2.2632672586362437E-2</v>
      </c>
    </row>
    <row r="96" spans="1:32">
      <c r="A96" s="105" t="s">
        <v>288</v>
      </c>
      <c r="B96" s="450" t="s">
        <v>289</v>
      </c>
      <c r="C96" s="450" t="s">
        <v>1382</v>
      </c>
      <c r="D96" s="450" t="s">
        <v>43</v>
      </c>
      <c r="E96" s="450" t="s">
        <v>44</v>
      </c>
      <c r="F96" s="450" t="s">
        <v>1348</v>
      </c>
      <c r="G96" s="450" t="s">
        <v>97</v>
      </c>
      <c r="H96" s="450" t="s">
        <v>62</v>
      </c>
      <c r="I96" s="450" t="s">
        <v>46</v>
      </c>
      <c r="J96" s="449">
        <v>654196890.63346612</v>
      </c>
      <c r="K96" s="52" t="s">
        <v>182</v>
      </c>
      <c r="L96" s="52"/>
      <c r="M96" s="52"/>
      <c r="N96" s="52" t="s">
        <v>290</v>
      </c>
      <c r="O96" s="448"/>
      <c r="P96" s="52"/>
      <c r="Q96" s="434">
        <v>25651226.210000001</v>
      </c>
      <c r="R96" s="449">
        <v>5042893</v>
      </c>
      <c r="S96" s="672"/>
      <c r="T96" s="449">
        <v>8055367</v>
      </c>
      <c r="U96" s="449">
        <v>1607095</v>
      </c>
      <c r="V96" s="41">
        <v>2678649</v>
      </c>
      <c r="W96" s="672">
        <v>8267102.3399999999</v>
      </c>
      <c r="X96" s="449">
        <v>119.86999999998807</v>
      </c>
      <c r="Y96" s="672"/>
      <c r="Z96" s="467"/>
      <c r="AA96" s="434">
        <f t="shared" si="14"/>
        <v>17384123.870000001</v>
      </c>
      <c r="AB96" s="448">
        <f t="shared" si="10"/>
        <v>0.29008611752373575</v>
      </c>
      <c r="AC96" s="448">
        <f t="shared" si="11"/>
        <v>9.2446131425316394E-2</v>
      </c>
      <c r="AD96" s="448">
        <f t="shared" si="12"/>
        <v>7.7085248679750074E-3</v>
      </c>
      <c r="AE96" s="448">
        <f t="shared" si="13"/>
        <v>2.4565922324146666E-3</v>
      </c>
      <c r="AF96" s="721">
        <f t="shared" si="15"/>
        <v>2.6573229128568254E-2</v>
      </c>
    </row>
    <row r="97" spans="1:32">
      <c r="A97" s="105" t="s">
        <v>294</v>
      </c>
      <c r="B97" s="450" t="s">
        <v>295</v>
      </c>
      <c r="C97" s="450" t="s">
        <v>1382</v>
      </c>
      <c r="D97" s="450" t="s">
        <v>43</v>
      </c>
      <c r="E97" s="450" t="s">
        <v>44</v>
      </c>
      <c r="F97" s="450" t="s">
        <v>1348</v>
      </c>
      <c r="G97" s="450" t="s">
        <v>81</v>
      </c>
      <c r="H97" s="450" t="s">
        <v>62</v>
      </c>
      <c r="I97" s="450" t="s">
        <v>226</v>
      </c>
      <c r="J97" s="449">
        <v>2569236929.1521077</v>
      </c>
      <c r="K97" s="52" t="s">
        <v>219</v>
      </c>
      <c r="L97" s="52"/>
      <c r="M97" s="52"/>
      <c r="N97" s="52" t="s">
        <v>161</v>
      </c>
      <c r="O97" s="448"/>
      <c r="P97" s="52"/>
      <c r="Q97" s="434">
        <v>22232660.546784293</v>
      </c>
      <c r="R97" s="449">
        <v>8294224.8199999984</v>
      </c>
      <c r="S97" s="672"/>
      <c r="T97" s="449">
        <v>12357581.15</v>
      </c>
      <c r="U97" s="449">
        <v>959043.57</v>
      </c>
      <c r="V97" s="41">
        <v>563737.20382488484</v>
      </c>
      <c r="W97" s="672">
        <v>58073.802959423556</v>
      </c>
      <c r="X97" s="449"/>
      <c r="Y97" s="672"/>
      <c r="Z97" s="467"/>
      <c r="AA97" s="434">
        <f t="shared" si="14"/>
        <v>22174586.743824884</v>
      </c>
      <c r="AB97" s="448">
        <f t="shared" si="10"/>
        <v>0.37404191184350938</v>
      </c>
      <c r="AC97" s="448">
        <f t="shared" si="11"/>
        <v>4.3249670493501834E-2</v>
      </c>
      <c r="AD97" s="448">
        <f t="shared" si="12"/>
        <v>3.2282833575559863E-3</v>
      </c>
      <c r="AE97" s="448">
        <f t="shared" si="13"/>
        <v>3.7327953647174953E-4</v>
      </c>
      <c r="AF97" s="721">
        <f t="shared" si="15"/>
        <v>8.6308064827415043E-3</v>
      </c>
    </row>
    <row r="98" spans="1:32">
      <c r="A98" s="105" t="s">
        <v>296</v>
      </c>
      <c r="B98" s="450" t="s">
        <v>297</v>
      </c>
      <c r="C98" s="450" t="s">
        <v>1382</v>
      </c>
      <c r="D98" s="450" t="s">
        <v>43</v>
      </c>
      <c r="E98" s="450" t="s">
        <v>44</v>
      </c>
      <c r="F98" s="450" t="s">
        <v>1348</v>
      </c>
      <c r="G98" s="450" t="s">
        <v>58</v>
      </c>
      <c r="H98" s="450" t="s">
        <v>62</v>
      </c>
      <c r="I98" s="450" t="s">
        <v>46</v>
      </c>
      <c r="J98" s="449">
        <v>4657795611.0717134</v>
      </c>
      <c r="K98" s="52" t="s">
        <v>182</v>
      </c>
      <c r="L98" s="52"/>
      <c r="M98" s="52"/>
      <c r="N98" s="52" t="s">
        <v>194</v>
      </c>
      <c r="O98" s="448"/>
      <c r="P98" s="52"/>
      <c r="Q98" s="434">
        <v>105065321.47</v>
      </c>
      <c r="R98" s="449">
        <v>36468579</v>
      </c>
      <c r="S98" s="672"/>
      <c r="T98" s="449">
        <v>56105623.409999996</v>
      </c>
      <c r="U98" s="449">
        <v>4838103</v>
      </c>
      <c r="V98" s="41">
        <v>4905809</v>
      </c>
      <c r="W98" s="672">
        <v>2747207.06</v>
      </c>
      <c r="X98" s="449"/>
      <c r="Y98" s="672"/>
      <c r="Z98" s="467"/>
      <c r="AA98" s="434">
        <f t="shared" si="14"/>
        <v>102318114.41</v>
      </c>
      <c r="AB98" s="448">
        <f t="shared" si="10"/>
        <v>0.35642348581470501</v>
      </c>
      <c r="AC98" s="448">
        <f t="shared" si="11"/>
        <v>4.7284911649301771E-2</v>
      </c>
      <c r="AD98" s="448">
        <f t="shared" si="12"/>
        <v>7.8295790638200496E-3</v>
      </c>
      <c r="AE98" s="448">
        <f t="shared" si="13"/>
        <v>1.0387108847154415E-3</v>
      </c>
      <c r="AF98" s="721">
        <f t="shared" si="15"/>
        <v>2.1967068320212873E-2</v>
      </c>
    </row>
    <row r="99" spans="1:32">
      <c r="A99" s="105" t="s">
        <v>305</v>
      </c>
      <c r="B99" s="450" t="s">
        <v>306</v>
      </c>
      <c r="C99" s="450" t="s">
        <v>1382</v>
      </c>
      <c r="D99" s="450" t="s">
        <v>43</v>
      </c>
      <c r="E99" s="450" t="s">
        <v>44</v>
      </c>
      <c r="F99" s="450" t="s">
        <v>1348</v>
      </c>
      <c r="G99" s="450" t="s">
        <v>666</v>
      </c>
      <c r="H99" s="450" t="s">
        <v>62</v>
      </c>
      <c r="I99" s="450" t="s">
        <v>46</v>
      </c>
      <c r="J99" s="449">
        <v>1174692477.1474104</v>
      </c>
      <c r="K99" s="52" t="s">
        <v>182</v>
      </c>
      <c r="L99" s="52"/>
      <c r="M99" s="52"/>
      <c r="N99" s="52" t="s">
        <v>138</v>
      </c>
      <c r="O99" s="448"/>
      <c r="P99" s="52"/>
      <c r="Q99" s="434">
        <v>35751046.519999996</v>
      </c>
      <c r="R99" s="449">
        <v>14702169</v>
      </c>
      <c r="S99" s="672"/>
      <c r="T99" s="449">
        <v>14366970</v>
      </c>
      <c r="U99" s="449">
        <v>510445</v>
      </c>
      <c r="V99" s="41">
        <v>2227577</v>
      </c>
      <c r="W99" s="672">
        <v>3936641.4899999998</v>
      </c>
      <c r="X99" s="449">
        <v>7244.030000000057</v>
      </c>
      <c r="Y99" s="672"/>
      <c r="Z99" s="467"/>
      <c r="AA99" s="434">
        <f t="shared" si="14"/>
        <v>31814405.030000001</v>
      </c>
      <c r="AB99" s="448">
        <f t="shared" si="10"/>
        <v>0.46212302213844042</v>
      </c>
      <c r="AC99" s="448">
        <f t="shared" si="11"/>
        <v>1.6044461605322059E-2</v>
      </c>
      <c r="AD99" s="448">
        <f t="shared" si="12"/>
        <v>1.2515759899733355E-2</v>
      </c>
      <c r="AE99" s="448">
        <f t="shared" si="13"/>
        <v>4.3453500378205372E-4</v>
      </c>
      <c r="AF99" s="721">
        <f t="shared" si="15"/>
        <v>2.7083177639187061E-2</v>
      </c>
    </row>
    <row r="100" spans="1:32">
      <c r="A100" s="103" t="s">
        <v>313</v>
      </c>
      <c r="B100" s="40" t="s">
        <v>314</v>
      </c>
      <c r="C100" s="40" t="s">
        <v>1383</v>
      </c>
      <c r="D100" s="40" t="s">
        <v>43</v>
      </c>
      <c r="E100" s="40" t="s">
        <v>44</v>
      </c>
      <c r="F100" s="40" t="s">
        <v>1348</v>
      </c>
      <c r="G100" s="40" t="s">
        <v>641</v>
      </c>
      <c r="H100" s="40" t="s">
        <v>45</v>
      </c>
      <c r="I100" s="40" t="s">
        <v>46</v>
      </c>
      <c r="J100" s="41">
        <v>106068736988</v>
      </c>
      <c r="K100" s="637">
        <v>2.5000000000000001E-2</v>
      </c>
      <c r="L100" s="444"/>
      <c r="M100" s="51"/>
      <c r="N100" s="444">
        <v>8.0000000000000004E-4</v>
      </c>
      <c r="O100" s="40"/>
      <c r="P100" s="51"/>
      <c r="Q100" s="434">
        <v>1661381593</v>
      </c>
      <c r="R100" s="41">
        <v>1548153363</v>
      </c>
      <c r="S100" s="672"/>
      <c r="T100" s="41"/>
      <c r="U100" s="41">
        <v>85056450</v>
      </c>
      <c r="V100" s="41">
        <v>28074867</v>
      </c>
      <c r="W100" s="672">
        <v>96913</v>
      </c>
      <c r="X100" s="449"/>
      <c r="Y100" s="672"/>
      <c r="Z100" s="733"/>
      <c r="AA100" s="434">
        <f t="shared" si="14"/>
        <v>1661284680</v>
      </c>
      <c r="AB100" s="42">
        <f t="shared" si="10"/>
        <v>0.93190130604226118</v>
      </c>
      <c r="AC100" s="42">
        <f t="shared" si="11"/>
        <v>5.1199202053678124E-2</v>
      </c>
      <c r="AD100" s="42">
        <f t="shared" si="12"/>
        <v>1.4595755610582494E-2</v>
      </c>
      <c r="AE100" s="42">
        <f t="shared" si="13"/>
        <v>8.0189933825291799E-4</v>
      </c>
      <c r="AF100" s="721">
        <f t="shared" si="15"/>
        <v>1.5662340546092748E-2</v>
      </c>
    </row>
    <row r="101" spans="1:32">
      <c r="A101" s="103" t="s">
        <v>316</v>
      </c>
      <c r="B101" s="40" t="s">
        <v>317</v>
      </c>
      <c r="C101" s="40" t="s">
        <v>1383</v>
      </c>
      <c r="D101" s="40" t="s">
        <v>43</v>
      </c>
      <c r="E101" s="40" t="s">
        <v>44</v>
      </c>
      <c r="F101" s="40" t="s">
        <v>1348</v>
      </c>
      <c r="G101" s="40" t="s">
        <v>365</v>
      </c>
      <c r="H101" s="40" t="s">
        <v>45</v>
      </c>
      <c r="I101" s="40" t="s">
        <v>46</v>
      </c>
      <c r="J101" s="41">
        <v>30568564460</v>
      </c>
      <c r="K101" s="638">
        <v>2.5000000000000001E-2</v>
      </c>
      <c r="L101" s="444"/>
      <c r="M101" s="51"/>
      <c r="N101" s="444">
        <v>8.0000000000000004E-4</v>
      </c>
      <c r="O101" s="40"/>
      <c r="P101" s="51"/>
      <c r="Q101" s="434">
        <v>522540719</v>
      </c>
      <c r="R101" s="41">
        <v>487009243</v>
      </c>
      <c r="S101" s="672"/>
      <c r="T101" s="41"/>
      <c r="U101" s="41">
        <v>24394280</v>
      </c>
      <c r="V101" s="41">
        <v>11032563</v>
      </c>
      <c r="W101" s="672">
        <v>104633</v>
      </c>
      <c r="X101" s="449"/>
      <c r="Y101" s="672"/>
      <c r="Z101" s="733"/>
      <c r="AA101" s="434">
        <f t="shared" si="14"/>
        <v>522436086</v>
      </c>
      <c r="AB101" s="42">
        <f t="shared" si="10"/>
        <v>0.93218913480643451</v>
      </c>
      <c r="AC101" s="42">
        <f t="shared" si="11"/>
        <v>4.6693328913730514E-2</v>
      </c>
      <c r="AD101" s="42">
        <f t="shared" si="12"/>
        <v>1.5931701458773703E-2</v>
      </c>
      <c r="AE101" s="42">
        <f t="shared" si="13"/>
        <v>7.9801850138958084E-4</v>
      </c>
      <c r="AF101" s="721">
        <f t="shared" si="15"/>
        <v>1.7090632001500277E-2</v>
      </c>
    </row>
    <row r="102" spans="1:32">
      <c r="A102" s="103" t="s">
        <v>318</v>
      </c>
      <c r="B102" s="40" t="s">
        <v>319</v>
      </c>
      <c r="C102" s="40" t="s">
        <v>1383</v>
      </c>
      <c r="D102" s="40" t="s">
        <v>43</v>
      </c>
      <c r="E102" s="40" t="s">
        <v>44</v>
      </c>
      <c r="F102" s="40" t="s">
        <v>1348</v>
      </c>
      <c r="G102" s="40" t="s">
        <v>365</v>
      </c>
      <c r="H102" s="40" t="s">
        <v>62</v>
      </c>
      <c r="I102" s="40" t="s">
        <v>69</v>
      </c>
      <c r="J102" s="435">
        <f>104814796.596463*300</f>
        <v>31444438978.9389</v>
      </c>
      <c r="K102" s="638">
        <v>2.5000000000000001E-2</v>
      </c>
      <c r="L102" s="444"/>
      <c r="M102" s="51"/>
      <c r="N102" s="444">
        <v>5.0000000000000001E-4</v>
      </c>
      <c r="O102" s="40"/>
      <c r="P102" s="51"/>
      <c r="Q102" s="434">
        <v>276527613</v>
      </c>
      <c r="R102" s="41">
        <v>250142831</v>
      </c>
      <c r="S102" s="672"/>
      <c r="T102" s="41"/>
      <c r="U102" s="41">
        <v>15726389</v>
      </c>
      <c r="V102" s="41">
        <v>10607190</v>
      </c>
      <c r="W102" s="672">
        <v>51203</v>
      </c>
      <c r="X102" s="449"/>
      <c r="Y102" s="672"/>
      <c r="Z102" s="733"/>
      <c r="AA102" s="434">
        <f t="shared" si="14"/>
        <v>276476410</v>
      </c>
      <c r="AB102" s="42">
        <f t="shared" si="10"/>
        <v>0.90475289012903493</v>
      </c>
      <c r="AC102" s="42">
        <f t="shared" si="11"/>
        <v>5.688148583815885E-2</v>
      </c>
      <c r="AD102" s="42">
        <f t="shared" si="12"/>
        <v>7.9550737466660675E-3</v>
      </c>
      <c r="AE102" s="42">
        <f t="shared" si="13"/>
        <v>5.001325992978708E-4</v>
      </c>
      <c r="AF102" s="721">
        <f t="shared" si="15"/>
        <v>8.7925375353390955E-3</v>
      </c>
    </row>
    <row r="103" spans="1:32">
      <c r="A103" s="103" t="s">
        <v>320</v>
      </c>
      <c r="B103" s="40" t="s">
        <v>321</v>
      </c>
      <c r="C103" s="40" t="s">
        <v>1383</v>
      </c>
      <c r="D103" s="40" t="s">
        <v>43</v>
      </c>
      <c r="E103" s="40" t="s">
        <v>44</v>
      </c>
      <c r="F103" s="40" t="s">
        <v>1348</v>
      </c>
      <c r="G103" s="40" t="s">
        <v>830</v>
      </c>
      <c r="H103" s="40" t="s">
        <v>1358</v>
      </c>
      <c r="I103" s="40" t="s">
        <v>46</v>
      </c>
      <c r="J103" s="41">
        <v>743048661</v>
      </c>
      <c r="K103" s="638">
        <v>2.5000000000000001E-2</v>
      </c>
      <c r="L103" s="444"/>
      <c r="M103" s="51"/>
      <c r="N103" s="444">
        <v>8.0000000000000004E-4</v>
      </c>
      <c r="O103" s="40"/>
      <c r="P103" s="51"/>
      <c r="Q103" s="434">
        <v>6288572</v>
      </c>
      <c r="R103" s="41">
        <v>3705215</v>
      </c>
      <c r="S103" s="672"/>
      <c r="T103" s="41"/>
      <c r="U103" s="41">
        <v>596252</v>
      </c>
      <c r="V103" s="41">
        <v>1926795</v>
      </c>
      <c r="W103" s="672">
        <v>36310</v>
      </c>
      <c r="X103" s="449">
        <v>12000</v>
      </c>
      <c r="Y103" s="672"/>
      <c r="Z103" s="734">
        <v>1.1220755547939588E-2</v>
      </c>
      <c r="AA103" s="434">
        <f t="shared" si="14"/>
        <v>6240262</v>
      </c>
      <c r="AB103" s="42">
        <f t="shared" si="10"/>
        <v>0.59375952484046346</v>
      </c>
      <c r="AC103" s="42">
        <f t="shared" si="11"/>
        <v>9.5549193287076728E-2</v>
      </c>
      <c r="AD103" s="42">
        <f t="shared" si="12"/>
        <v>4.9865038381382669E-3</v>
      </c>
      <c r="AE103" s="42">
        <f t="shared" si="13"/>
        <v>8.0244004369452735E-4</v>
      </c>
      <c r="AF103" s="721">
        <f t="shared" si="15"/>
        <v>1.9618943079294279E-2</v>
      </c>
    </row>
    <row r="104" spans="1:32">
      <c r="A104" s="103" t="s">
        <v>322</v>
      </c>
      <c r="B104" s="40" t="s">
        <v>323</v>
      </c>
      <c r="C104" s="40" t="s">
        <v>1383</v>
      </c>
      <c r="D104" s="40" t="s">
        <v>43</v>
      </c>
      <c r="E104" s="40" t="s">
        <v>44</v>
      </c>
      <c r="F104" s="40" t="s">
        <v>1348</v>
      </c>
      <c r="G104" s="40" t="s">
        <v>48</v>
      </c>
      <c r="H104" s="40" t="s">
        <v>45</v>
      </c>
      <c r="I104" s="40" t="s">
        <v>46</v>
      </c>
      <c r="J104" s="41">
        <v>4449700090</v>
      </c>
      <c r="K104" s="638">
        <v>2.5000000000000001E-2</v>
      </c>
      <c r="L104" s="444"/>
      <c r="M104" s="51"/>
      <c r="N104" s="444">
        <v>8.0000000000000004E-4</v>
      </c>
      <c r="O104" s="40"/>
      <c r="P104" s="51"/>
      <c r="Q104" s="434">
        <v>77409886</v>
      </c>
      <c r="R104" s="41">
        <v>70730409</v>
      </c>
      <c r="S104" s="672"/>
      <c r="T104" s="41"/>
      <c r="U104" s="41">
        <v>3539257</v>
      </c>
      <c r="V104" s="41">
        <v>3069720</v>
      </c>
      <c r="W104" s="672">
        <v>70500</v>
      </c>
      <c r="X104" s="449"/>
      <c r="Y104" s="672"/>
      <c r="Z104" s="733"/>
      <c r="AA104" s="434">
        <f t="shared" si="14"/>
        <v>77339386</v>
      </c>
      <c r="AB104" s="42">
        <f t="shared" si="10"/>
        <v>0.91454577878340026</v>
      </c>
      <c r="AC104" s="42">
        <f t="shared" si="11"/>
        <v>4.5762672592202888E-2</v>
      </c>
      <c r="AD104" s="42">
        <f t="shared" si="12"/>
        <v>1.5895545220891504E-2</v>
      </c>
      <c r="AE104" s="42">
        <f t="shared" si="13"/>
        <v>7.9539225754875534E-4</v>
      </c>
      <c r="AF104" s="721">
        <f t="shared" si="15"/>
        <v>1.7380808691760619E-2</v>
      </c>
    </row>
    <row r="105" spans="1:32">
      <c r="A105" s="103" t="s">
        <v>324</v>
      </c>
      <c r="B105" s="40" t="s">
        <v>325</v>
      </c>
      <c r="C105" s="40" t="s">
        <v>1383</v>
      </c>
      <c r="D105" s="40" t="s">
        <v>43</v>
      </c>
      <c r="E105" s="40" t="s">
        <v>44</v>
      </c>
      <c r="F105" s="40" t="s">
        <v>55</v>
      </c>
      <c r="G105" s="40" t="s">
        <v>56</v>
      </c>
      <c r="H105" s="40" t="s">
        <v>45</v>
      </c>
      <c r="I105" s="40" t="s">
        <v>46</v>
      </c>
      <c r="J105" s="41">
        <v>854703905</v>
      </c>
      <c r="K105" s="638">
        <v>2.5000000000000001E-2</v>
      </c>
      <c r="L105" s="444"/>
      <c r="M105" s="51"/>
      <c r="N105" s="444">
        <v>1.1999999999999999E-3</v>
      </c>
      <c r="O105" s="40"/>
      <c r="P105" s="51"/>
      <c r="Q105" s="434">
        <v>7282430</v>
      </c>
      <c r="R105" s="41">
        <v>4282084</v>
      </c>
      <c r="S105" s="672"/>
      <c r="T105" s="41"/>
      <c r="U105" s="41">
        <v>1044410</v>
      </c>
      <c r="V105" s="41">
        <v>1939964</v>
      </c>
      <c r="W105" s="672">
        <v>15972</v>
      </c>
      <c r="X105" s="449"/>
      <c r="Y105" s="672"/>
      <c r="Z105" s="734">
        <v>1.3348163249352099E-2</v>
      </c>
      <c r="AA105" s="434">
        <f t="shared" si="14"/>
        <v>7266458</v>
      </c>
      <c r="AB105" s="42">
        <f t="shared" si="10"/>
        <v>0.58929453662293241</v>
      </c>
      <c r="AC105" s="42">
        <f t="shared" si="11"/>
        <v>0.14373027408952202</v>
      </c>
      <c r="AD105" s="42">
        <f t="shared" si="12"/>
        <v>5.0100203999886954E-3</v>
      </c>
      <c r="AE105" s="42">
        <f t="shared" si="13"/>
        <v>1.2219553390246884E-3</v>
      </c>
      <c r="AF105" s="721">
        <f t="shared" si="15"/>
        <v>2.1849888767968985E-2</v>
      </c>
    </row>
    <row r="106" spans="1:32">
      <c r="A106" s="103" t="s">
        <v>326</v>
      </c>
      <c r="B106" s="40" t="s">
        <v>327</v>
      </c>
      <c r="C106" s="40" t="s">
        <v>1383</v>
      </c>
      <c r="D106" s="40" t="s">
        <v>43</v>
      </c>
      <c r="E106" s="40" t="s">
        <v>44</v>
      </c>
      <c r="F106" s="40" t="s">
        <v>1348</v>
      </c>
      <c r="G106" s="40" t="s">
        <v>58</v>
      </c>
      <c r="H106" s="40" t="s">
        <v>62</v>
      </c>
      <c r="I106" s="40" t="s">
        <v>46</v>
      </c>
      <c r="J106" s="41">
        <v>1302042791</v>
      </c>
      <c r="K106" s="638">
        <v>2.5000000000000001E-2</v>
      </c>
      <c r="L106" s="444"/>
      <c r="M106" s="51"/>
      <c r="N106" s="444">
        <v>2E-3</v>
      </c>
      <c r="O106" s="40"/>
      <c r="P106" s="51"/>
      <c r="Q106" s="434">
        <v>38268582</v>
      </c>
      <c r="R106" s="41">
        <v>28569281</v>
      </c>
      <c r="S106" s="672"/>
      <c r="T106" s="41"/>
      <c r="U106" s="41">
        <v>2613768</v>
      </c>
      <c r="V106" s="41">
        <v>4309518</v>
      </c>
      <c r="W106" s="672">
        <v>2776015</v>
      </c>
      <c r="X106" s="449"/>
      <c r="Y106" s="672"/>
      <c r="Z106" s="733"/>
      <c r="AA106" s="434">
        <f t="shared" si="14"/>
        <v>35492567</v>
      </c>
      <c r="AB106" s="42">
        <f t="shared" si="10"/>
        <v>0.80493701681256247</v>
      </c>
      <c r="AC106" s="42">
        <f t="shared" si="11"/>
        <v>7.3642686932168078E-2</v>
      </c>
      <c r="AD106" s="42">
        <f t="shared" si="12"/>
        <v>2.1941891001952485E-2</v>
      </c>
      <c r="AE106" s="42">
        <f t="shared" si="13"/>
        <v>2.0074363285653338E-3</v>
      </c>
      <c r="AF106" s="721">
        <f t="shared" si="15"/>
        <v>2.7259140210546276E-2</v>
      </c>
    </row>
    <row r="107" spans="1:32">
      <c r="A107" s="103" t="s">
        <v>328</v>
      </c>
      <c r="B107" s="40" t="s">
        <v>329</v>
      </c>
      <c r="C107" s="40" t="s">
        <v>1383</v>
      </c>
      <c r="D107" s="40" t="s">
        <v>43</v>
      </c>
      <c r="E107" s="40" t="s">
        <v>44</v>
      </c>
      <c r="F107" s="40" t="s">
        <v>55</v>
      </c>
      <c r="G107" s="40" t="s">
        <v>58</v>
      </c>
      <c r="H107" s="40" t="s">
        <v>62</v>
      </c>
      <c r="I107" s="40" t="s">
        <v>46</v>
      </c>
      <c r="J107" s="41">
        <v>1878084316</v>
      </c>
      <c r="K107" s="638">
        <v>2.5000000000000001E-2</v>
      </c>
      <c r="L107" s="444"/>
      <c r="M107" s="51"/>
      <c r="N107" s="444">
        <v>1.5E-3</v>
      </c>
      <c r="O107" s="40"/>
      <c r="P107" s="51"/>
      <c r="Q107" s="434">
        <v>51089260</v>
      </c>
      <c r="R107" s="41">
        <v>41393671</v>
      </c>
      <c r="S107" s="672"/>
      <c r="T107" s="41"/>
      <c r="U107" s="41">
        <v>2821333</v>
      </c>
      <c r="V107" s="41">
        <v>2740212</v>
      </c>
      <c r="W107" s="672">
        <v>2606222</v>
      </c>
      <c r="X107" s="449">
        <v>763911</v>
      </c>
      <c r="Y107" s="672"/>
      <c r="Z107" s="734">
        <v>2.4748448000000002E-3</v>
      </c>
      <c r="AA107" s="434">
        <f t="shared" si="14"/>
        <v>47719127</v>
      </c>
      <c r="AB107" s="42">
        <f t="shared" si="10"/>
        <v>0.86744401254448766</v>
      </c>
      <c r="AC107" s="42">
        <f t="shared" si="11"/>
        <v>5.9123734598078459E-2</v>
      </c>
      <c r="AD107" s="42">
        <f t="shared" si="12"/>
        <v>2.2040368820161107E-2</v>
      </c>
      <c r="AE107" s="42">
        <f t="shared" si="13"/>
        <v>1.5022397961391633E-3</v>
      </c>
      <c r="AF107" s="721">
        <f t="shared" si="15"/>
        <v>2.7883249839893855E-2</v>
      </c>
    </row>
    <row r="108" spans="1:32">
      <c r="A108" s="103" t="s">
        <v>330</v>
      </c>
      <c r="B108" s="40" t="s">
        <v>331</v>
      </c>
      <c r="C108" s="40" t="s">
        <v>1383</v>
      </c>
      <c r="D108" s="40" t="s">
        <v>43</v>
      </c>
      <c r="E108" s="40" t="s">
        <v>44</v>
      </c>
      <c r="F108" s="40" t="s">
        <v>1349</v>
      </c>
      <c r="G108" s="40" t="s">
        <v>58</v>
      </c>
      <c r="H108" s="40" t="s">
        <v>45</v>
      </c>
      <c r="I108" s="40" t="s">
        <v>46</v>
      </c>
      <c r="J108" s="41">
        <v>1142755728</v>
      </c>
      <c r="K108" s="638">
        <v>2.5000000000000001E-2</v>
      </c>
      <c r="L108" s="444"/>
      <c r="M108" s="51"/>
      <c r="N108" s="444">
        <v>2E-3</v>
      </c>
      <c r="O108" s="40"/>
      <c r="P108" s="51"/>
      <c r="Q108" s="434">
        <v>33130672</v>
      </c>
      <c r="R108" s="41">
        <v>25132249</v>
      </c>
      <c r="S108" s="672"/>
      <c r="T108" s="41"/>
      <c r="U108" s="41">
        <v>2299409</v>
      </c>
      <c r="V108" s="41">
        <v>2542358</v>
      </c>
      <c r="W108" s="672">
        <v>3156656</v>
      </c>
      <c r="X108" s="449"/>
      <c r="Y108" s="672"/>
      <c r="Z108" s="733"/>
      <c r="AA108" s="434">
        <f t="shared" si="14"/>
        <v>29974016</v>
      </c>
      <c r="AB108" s="42">
        <f t="shared" si="10"/>
        <v>0.83846785829433068</v>
      </c>
      <c r="AC108" s="42">
        <f t="shared" si="11"/>
        <v>7.671341070879524E-2</v>
      </c>
      <c r="AD108" s="42">
        <f t="shared" si="12"/>
        <v>2.1992669460502587E-2</v>
      </c>
      <c r="AE108" s="42">
        <f t="shared" si="13"/>
        <v>2.0121614301809912E-3</v>
      </c>
      <c r="AF108" s="721">
        <f t="shared" si="15"/>
        <v>2.6229591561495985E-2</v>
      </c>
    </row>
    <row r="109" spans="1:32">
      <c r="A109" s="103" t="s">
        <v>332</v>
      </c>
      <c r="B109" s="40" t="s">
        <v>333</v>
      </c>
      <c r="C109" s="40" t="s">
        <v>1383</v>
      </c>
      <c r="D109" s="40" t="s">
        <v>43</v>
      </c>
      <c r="E109" s="40" t="s">
        <v>44</v>
      </c>
      <c r="F109" s="40" t="s">
        <v>55</v>
      </c>
      <c r="G109" s="40" t="s">
        <v>58</v>
      </c>
      <c r="H109" s="40" t="s">
        <v>62</v>
      </c>
      <c r="I109" s="40" t="s">
        <v>46</v>
      </c>
      <c r="J109" s="41">
        <v>2413838563</v>
      </c>
      <c r="K109" s="638">
        <v>2.5000000000000001E-2</v>
      </c>
      <c r="L109" s="444"/>
      <c r="M109" s="51"/>
      <c r="N109" s="444">
        <v>8.0000000000000004E-4</v>
      </c>
      <c r="O109" s="40"/>
      <c r="P109" s="51"/>
      <c r="Q109" s="434">
        <v>60853620</v>
      </c>
      <c r="R109" s="41">
        <v>53072548</v>
      </c>
      <c r="S109" s="672"/>
      <c r="T109" s="41"/>
      <c r="U109" s="41">
        <v>1941634</v>
      </c>
      <c r="V109" s="41">
        <v>2909487</v>
      </c>
      <c r="W109" s="672">
        <v>1714067</v>
      </c>
      <c r="X109" s="449">
        <v>607942</v>
      </c>
      <c r="Y109" s="672"/>
      <c r="Z109" s="734">
        <v>1.3472058782054801E-3</v>
      </c>
      <c r="AA109" s="434">
        <f t="shared" si="14"/>
        <v>58531611</v>
      </c>
      <c r="AB109" s="42">
        <f t="shared" si="10"/>
        <v>0.90673308137717246</v>
      </c>
      <c r="AC109" s="42">
        <f t="shared" si="11"/>
        <v>3.3172399782401343E-2</v>
      </c>
      <c r="AD109" s="42">
        <f t="shared" si="12"/>
        <v>2.1986784374693081E-2</v>
      </c>
      <c r="AE109" s="42">
        <f t="shared" si="13"/>
        <v>8.0437607956137375E-4</v>
      </c>
      <c r="AF109" s="721">
        <f t="shared" si="15"/>
        <v>2.5595559474501886E-2</v>
      </c>
    </row>
    <row r="110" spans="1:32">
      <c r="A110" s="103" t="s">
        <v>334</v>
      </c>
      <c r="B110" s="40" t="s">
        <v>335</v>
      </c>
      <c r="C110" s="40" t="s">
        <v>1383</v>
      </c>
      <c r="D110" s="40" t="s">
        <v>43</v>
      </c>
      <c r="E110" s="40" t="s">
        <v>44</v>
      </c>
      <c r="F110" s="40" t="s">
        <v>55</v>
      </c>
      <c r="G110" s="40" t="s">
        <v>666</v>
      </c>
      <c r="H110" s="40" t="s">
        <v>62</v>
      </c>
      <c r="I110" s="40" t="s">
        <v>46</v>
      </c>
      <c r="J110" s="41">
        <v>3328864240</v>
      </c>
      <c r="K110" s="638">
        <v>2.5000000000000001E-2</v>
      </c>
      <c r="L110" s="444"/>
      <c r="M110" s="51"/>
      <c r="N110" s="444">
        <v>8.0000000000000004E-4</v>
      </c>
      <c r="O110" s="40"/>
      <c r="P110" s="51"/>
      <c r="Q110" s="434">
        <v>86448884</v>
      </c>
      <c r="R110" s="41">
        <v>73183620</v>
      </c>
      <c r="S110" s="672"/>
      <c r="T110" s="41"/>
      <c r="U110" s="41">
        <v>2683990</v>
      </c>
      <c r="V110" s="41">
        <v>3747642</v>
      </c>
      <c r="W110" s="672">
        <v>2303938</v>
      </c>
      <c r="X110" s="449">
        <v>2264847</v>
      </c>
      <c r="Y110" s="672"/>
      <c r="Z110" s="734">
        <v>8.3649291087681803E-3</v>
      </c>
      <c r="AA110" s="434">
        <f t="shared" si="14"/>
        <v>81880099</v>
      </c>
      <c r="AB110" s="42">
        <f t="shared" si="10"/>
        <v>0.8937900771224031</v>
      </c>
      <c r="AC110" s="42">
        <f t="shared" si="11"/>
        <v>3.2779515813726602E-2</v>
      </c>
      <c r="AD110" s="42">
        <f t="shared" si="12"/>
        <v>2.1984561316925319E-2</v>
      </c>
      <c r="AE110" s="42">
        <f t="shared" si="13"/>
        <v>8.0627799948969987E-4</v>
      </c>
      <c r="AF110" s="721">
        <f t="shared" si="15"/>
        <v>3.2961936705569427E-2</v>
      </c>
    </row>
    <row r="111" spans="1:32">
      <c r="A111" s="103" t="s">
        <v>336</v>
      </c>
      <c r="B111" s="40" t="s">
        <v>337</v>
      </c>
      <c r="C111" s="40" t="s">
        <v>1383</v>
      </c>
      <c r="D111" s="40" t="s">
        <v>43</v>
      </c>
      <c r="E111" s="40" t="s">
        <v>621</v>
      </c>
      <c r="F111" s="40" t="s">
        <v>884</v>
      </c>
      <c r="G111" s="40" t="s">
        <v>622</v>
      </c>
      <c r="H111" s="40" t="s">
        <v>62</v>
      </c>
      <c r="I111" s="40" t="s">
        <v>46</v>
      </c>
      <c r="J111" s="41">
        <v>7302841726</v>
      </c>
      <c r="K111" s="638">
        <v>0.05</v>
      </c>
      <c r="L111" s="444"/>
      <c r="M111" s="51"/>
      <c r="N111" s="444">
        <v>8.0000000000000004E-4</v>
      </c>
      <c r="O111" s="40"/>
      <c r="P111" s="51"/>
      <c r="Q111" s="434">
        <v>82548138</v>
      </c>
      <c r="R111" s="41">
        <v>73038455</v>
      </c>
      <c r="S111" s="672"/>
      <c r="T111" s="41"/>
      <c r="U111" s="41">
        <v>5874782</v>
      </c>
      <c r="V111" s="41">
        <v>3618461</v>
      </c>
      <c r="W111" s="672">
        <v>16440</v>
      </c>
      <c r="X111" s="449"/>
      <c r="Y111" s="672"/>
      <c r="Z111" s="734"/>
      <c r="AA111" s="434">
        <f t="shared" si="14"/>
        <v>82531698</v>
      </c>
      <c r="AB111" s="42">
        <f t="shared" si="10"/>
        <v>0.88497458273547214</v>
      </c>
      <c r="AC111" s="42">
        <f t="shared" si="11"/>
        <v>7.118212931957367E-2</v>
      </c>
      <c r="AD111" s="42">
        <f t="shared" si="12"/>
        <v>1.0001374497815591E-2</v>
      </c>
      <c r="AE111" s="42">
        <f t="shared" si="13"/>
        <v>8.0445150263687914E-4</v>
      </c>
      <c r="AF111" s="721">
        <f t="shared" si="15"/>
        <v>1.1301312707649938E-2</v>
      </c>
    </row>
    <row r="112" spans="1:32">
      <c r="A112" s="103" t="s">
        <v>338</v>
      </c>
      <c r="B112" s="40" t="s">
        <v>339</v>
      </c>
      <c r="C112" s="40" t="s">
        <v>1383</v>
      </c>
      <c r="D112" s="40" t="s">
        <v>43</v>
      </c>
      <c r="E112" s="40" t="s">
        <v>621</v>
      </c>
      <c r="F112" s="40" t="s">
        <v>884</v>
      </c>
      <c r="G112" s="40" t="s">
        <v>622</v>
      </c>
      <c r="H112" s="40" t="s">
        <v>62</v>
      </c>
      <c r="I112" s="40" t="s">
        <v>46</v>
      </c>
      <c r="J112" s="41">
        <v>3020225568</v>
      </c>
      <c r="K112" s="638">
        <v>0.05</v>
      </c>
      <c r="L112" s="444"/>
      <c r="M112" s="51"/>
      <c r="N112" s="444">
        <v>8.0000000000000004E-4</v>
      </c>
      <c r="O112" s="40"/>
      <c r="P112" s="51"/>
      <c r="Q112" s="434">
        <v>57882582</v>
      </c>
      <c r="R112" s="41">
        <v>52877422</v>
      </c>
      <c r="S112" s="672"/>
      <c r="T112" s="41"/>
      <c r="U112" s="41">
        <v>2429286</v>
      </c>
      <c r="V112" s="41">
        <v>2559916</v>
      </c>
      <c r="W112" s="672">
        <v>15958</v>
      </c>
      <c r="X112" s="449"/>
      <c r="Y112" s="672"/>
      <c r="Z112" s="734"/>
      <c r="AA112" s="434">
        <f t="shared" si="14"/>
        <v>57866624</v>
      </c>
      <c r="AB112" s="42">
        <f t="shared" si="10"/>
        <v>0.91378100785696437</v>
      </c>
      <c r="AC112" s="42">
        <f t="shared" si="11"/>
        <v>4.1980779801496629E-2</v>
      </c>
      <c r="AD112" s="42">
        <f t="shared" si="12"/>
        <v>1.7507772452577289E-2</v>
      </c>
      <c r="AE112" s="42">
        <f t="shared" si="13"/>
        <v>8.0433926053035786E-4</v>
      </c>
      <c r="AF112" s="721">
        <f t="shared" si="15"/>
        <v>1.9159702709993082E-2</v>
      </c>
    </row>
    <row r="113" spans="1:32">
      <c r="A113" s="103" t="s">
        <v>340</v>
      </c>
      <c r="B113" s="40" t="s">
        <v>341</v>
      </c>
      <c r="C113" s="40" t="s">
        <v>1383</v>
      </c>
      <c r="D113" s="40" t="s">
        <v>43</v>
      </c>
      <c r="E113" s="40" t="s">
        <v>621</v>
      </c>
      <c r="F113" s="40" t="s">
        <v>884</v>
      </c>
      <c r="G113" s="40" t="s">
        <v>622</v>
      </c>
      <c r="H113" s="40" t="s">
        <v>62</v>
      </c>
      <c r="I113" s="40" t="s">
        <v>69</v>
      </c>
      <c r="J113" s="41">
        <f>19206137.5278862*300</f>
        <v>5761841258.36586</v>
      </c>
      <c r="K113" s="638">
        <v>0.05</v>
      </c>
      <c r="L113" s="444"/>
      <c r="M113" s="51"/>
      <c r="N113" s="444">
        <v>5.0000000000000001E-4</v>
      </c>
      <c r="O113" s="40"/>
      <c r="P113" s="51"/>
      <c r="Q113" s="434">
        <v>23247972</v>
      </c>
      <c r="R113" s="41">
        <v>17175287</v>
      </c>
      <c r="S113" s="672"/>
      <c r="T113" s="41"/>
      <c r="U113" s="41">
        <v>2884565</v>
      </c>
      <c r="V113" s="41">
        <v>3155161</v>
      </c>
      <c r="W113" s="672">
        <v>32959</v>
      </c>
      <c r="X113" s="449"/>
      <c r="Y113" s="672"/>
      <c r="Z113" s="734"/>
      <c r="AA113" s="434">
        <f t="shared" si="14"/>
        <v>23215013</v>
      </c>
      <c r="AB113" s="42">
        <f t="shared" si="10"/>
        <v>0.73983533845102734</v>
      </c>
      <c r="AC113" s="42">
        <f t="shared" si="11"/>
        <v>0.12425429182400199</v>
      </c>
      <c r="AD113" s="42">
        <f t="shared" si="12"/>
        <v>2.9808677868489483E-3</v>
      </c>
      <c r="AE113" s="42">
        <f t="shared" si="13"/>
        <v>5.0063250107971623E-4</v>
      </c>
      <c r="AF113" s="721">
        <f t="shared" si="15"/>
        <v>4.029096248754362E-3</v>
      </c>
    </row>
    <row r="114" spans="1:32">
      <c r="A114" s="103" t="s">
        <v>342</v>
      </c>
      <c r="B114" s="40" t="s">
        <v>343</v>
      </c>
      <c r="C114" s="40" t="s">
        <v>1383</v>
      </c>
      <c r="D114" s="40" t="s">
        <v>43</v>
      </c>
      <c r="E114" s="40" t="s">
        <v>621</v>
      </c>
      <c r="F114" s="40" t="s">
        <v>884</v>
      </c>
      <c r="G114" s="40" t="s">
        <v>622</v>
      </c>
      <c r="H114" s="40" t="s">
        <v>62</v>
      </c>
      <c r="I114" s="40" t="s">
        <v>46</v>
      </c>
      <c r="J114" s="41">
        <v>2309484440</v>
      </c>
      <c r="K114" s="638">
        <v>0.05</v>
      </c>
      <c r="L114" s="444"/>
      <c r="M114" s="51"/>
      <c r="N114" s="444">
        <v>5.0000000000000001E-4</v>
      </c>
      <c r="O114" s="40"/>
      <c r="P114" s="51"/>
      <c r="Q114" s="434">
        <v>21896922</v>
      </c>
      <c r="R114" s="41">
        <v>18477677</v>
      </c>
      <c r="S114" s="672"/>
      <c r="T114" s="41"/>
      <c r="U114" s="41">
        <v>1160660</v>
      </c>
      <c r="V114" s="41">
        <v>2242654</v>
      </c>
      <c r="W114" s="672">
        <v>15931</v>
      </c>
      <c r="X114" s="449"/>
      <c r="Y114" s="672"/>
      <c r="Z114" s="734"/>
      <c r="AA114" s="434">
        <f t="shared" si="14"/>
        <v>21880991</v>
      </c>
      <c r="AB114" s="42">
        <f t="shared" si="10"/>
        <v>0.84446252914230435</v>
      </c>
      <c r="AC114" s="42">
        <f t="shared" si="11"/>
        <v>5.3044215410536021E-2</v>
      </c>
      <c r="AD114" s="42">
        <f t="shared" si="12"/>
        <v>8.0007800355649944E-3</v>
      </c>
      <c r="AE114" s="42">
        <f t="shared" si="13"/>
        <v>5.0256238141184451E-4</v>
      </c>
      <c r="AF114" s="721">
        <f t="shared" si="15"/>
        <v>9.4744050321464816E-3</v>
      </c>
    </row>
    <row r="115" spans="1:32">
      <c r="A115" s="103" t="s">
        <v>344</v>
      </c>
      <c r="B115" s="40" t="s">
        <v>345</v>
      </c>
      <c r="C115" s="40" t="s">
        <v>1383</v>
      </c>
      <c r="D115" s="40" t="s">
        <v>43</v>
      </c>
      <c r="E115" s="40" t="s">
        <v>621</v>
      </c>
      <c r="F115" s="40" t="s">
        <v>884</v>
      </c>
      <c r="G115" s="40" t="s">
        <v>622</v>
      </c>
      <c r="H115" s="40" t="s">
        <v>62</v>
      </c>
      <c r="I115" s="40" t="s">
        <v>46</v>
      </c>
      <c r="J115" s="41">
        <v>2036022441</v>
      </c>
      <c r="K115" s="638">
        <v>0.05</v>
      </c>
      <c r="L115" s="444"/>
      <c r="M115" s="51"/>
      <c r="N115" s="444">
        <v>5.0000000000000001E-4</v>
      </c>
      <c r="O115" s="40"/>
      <c r="P115" s="51"/>
      <c r="Q115" s="434">
        <v>35774903</v>
      </c>
      <c r="R115" s="41">
        <v>32562812</v>
      </c>
      <c r="S115" s="672"/>
      <c r="T115" s="41"/>
      <c r="U115" s="41">
        <v>1022008</v>
      </c>
      <c r="V115" s="41">
        <v>2174160</v>
      </c>
      <c r="W115" s="672">
        <v>15923</v>
      </c>
      <c r="X115" s="449"/>
      <c r="Y115" s="672"/>
      <c r="Z115" s="734"/>
      <c r="AA115" s="434">
        <f t="shared" si="14"/>
        <v>35758980</v>
      </c>
      <c r="AB115" s="42">
        <f t="shared" si="10"/>
        <v>0.91061915076996047</v>
      </c>
      <c r="AC115" s="42">
        <f t="shared" si="11"/>
        <v>2.858045727255084E-2</v>
      </c>
      <c r="AD115" s="42">
        <f t="shared" si="12"/>
        <v>1.5993346313023276E-2</v>
      </c>
      <c r="AE115" s="42">
        <f t="shared" si="13"/>
        <v>5.0196303312749198E-4</v>
      </c>
      <c r="AF115" s="721">
        <f t="shared" si="15"/>
        <v>1.7563156122403466E-2</v>
      </c>
    </row>
    <row r="116" spans="1:32">
      <c r="A116" s="105" t="s">
        <v>346</v>
      </c>
      <c r="B116" s="450" t="s">
        <v>347</v>
      </c>
      <c r="C116" s="450" t="s">
        <v>1384</v>
      </c>
      <c r="D116" s="450" t="s">
        <v>43</v>
      </c>
      <c r="E116" s="450" t="s">
        <v>44</v>
      </c>
      <c r="F116" s="450" t="s">
        <v>884</v>
      </c>
      <c r="G116" s="450" t="s">
        <v>97</v>
      </c>
      <c r="H116" s="450" t="s">
        <v>45</v>
      </c>
      <c r="I116" s="450" t="s">
        <v>46</v>
      </c>
      <c r="J116" s="449">
        <v>20826454703.490799</v>
      </c>
      <c r="K116" s="52" t="s">
        <v>349</v>
      </c>
      <c r="L116" s="52" t="s">
        <v>350</v>
      </c>
      <c r="M116" s="52" t="s">
        <v>108</v>
      </c>
      <c r="N116" s="52" t="s">
        <v>351</v>
      </c>
      <c r="O116" s="448"/>
      <c r="P116" s="52" t="s">
        <v>353</v>
      </c>
      <c r="Q116" s="434">
        <v>660428112.51999998</v>
      </c>
      <c r="R116" s="449">
        <v>234640593</v>
      </c>
      <c r="S116" s="672">
        <v>298596161</v>
      </c>
      <c r="T116" s="449">
        <v>104263246</v>
      </c>
      <c r="U116" s="449">
        <v>11803727</v>
      </c>
      <c r="V116" s="41">
        <v>10277364</v>
      </c>
      <c r="W116" s="672">
        <v>847021.52</v>
      </c>
      <c r="X116" s="449"/>
      <c r="Y116" s="672"/>
      <c r="Z116" s="735"/>
      <c r="AA116" s="434">
        <f t="shared" si="14"/>
        <v>360984930</v>
      </c>
      <c r="AB116" s="448">
        <f t="shared" si="10"/>
        <v>0.65000107622221237</v>
      </c>
      <c r="AC116" s="448">
        <f t="shared" si="11"/>
        <v>3.2698669720090529E-2</v>
      </c>
      <c r="AD116" s="448">
        <f t="shared" si="12"/>
        <v>1.1266468361543601E-2</v>
      </c>
      <c r="AE116" s="448">
        <f t="shared" si="13"/>
        <v>5.6676602753811644E-4</v>
      </c>
      <c r="AF116" s="721">
        <f t="shared" si="15"/>
        <v>1.7332999549822273E-2</v>
      </c>
    </row>
    <row r="117" spans="1:32">
      <c r="A117" s="105" t="s">
        <v>354</v>
      </c>
      <c r="B117" s="450" t="s">
        <v>355</v>
      </c>
      <c r="C117" s="450" t="s">
        <v>1384</v>
      </c>
      <c r="D117" s="450" t="s">
        <v>43</v>
      </c>
      <c r="E117" s="450" t="s">
        <v>44</v>
      </c>
      <c r="F117" s="450" t="s">
        <v>1348</v>
      </c>
      <c r="G117" s="450" t="s">
        <v>61</v>
      </c>
      <c r="H117" s="450" t="s">
        <v>45</v>
      </c>
      <c r="I117" s="450" t="s">
        <v>46</v>
      </c>
      <c r="J117" s="449">
        <v>7324973772.1498699</v>
      </c>
      <c r="K117" s="52" t="s">
        <v>349</v>
      </c>
      <c r="L117" s="52"/>
      <c r="M117" s="52"/>
      <c r="N117" s="52" t="s">
        <v>351</v>
      </c>
      <c r="O117" s="448"/>
      <c r="P117" s="52" t="s">
        <v>353</v>
      </c>
      <c r="Q117" s="434">
        <v>141560081.33000001</v>
      </c>
      <c r="R117" s="449">
        <v>73372025</v>
      </c>
      <c r="S117" s="672"/>
      <c r="T117" s="449">
        <v>48098891</v>
      </c>
      <c r="U117" s="449">
        <v>4304538</v>
      </c>
      <c r="V117" s="41">
        <v>4784502</v>
      </c>
      <c r="W117" s="672">
        <v>11000125.33</v>
      </c>
      <c r="X117" s="449"/>
      <c r="Y117" s="672"/>
      <c r="Z117" s="735"/>
      <c r="AA117" s="434">
        <f t="shared" si="14"/>
        <v>130559956</v>
      </c>
      <c r="AB117" s="448">
        <f t="shared" si="10"/>
        <v>0.56197954754212698</v>
      </c>
      <c r="AC117" s="448">
        <f t="shared" si="11"/>
        <v>3.296981809644605E-2</v>
      </c>
      <c r="AD117" s="448">
        <f t="shared" si="12"/>
        <v>1.0016694568786887E-2</v>
      </c>
      <c r="AE117" s="448">
        <f t="shared" si="13"/>
        <v>5.8765234305222967E-4</v>
      </c>
      <c r="AF117" s="721">
        <f t="shared" si="15"/>
        <v>1.7823948598478166E-2</v>
      </c>
    </row>
    <row r="118" spans="1:32">
      <c r="A118" s="105" t="s">
        <v>356</v>
      </c>
      <c r="B118" s="450" t="s">
        <v>357</v>
      </c>
      <c r="C118" s="450" t="s">
        <v>1384</v>
      </c>
      <c r="D118" s="450" t="s">
        <v>553</v>
      </c>
      <c r="E118" s="450" t="s">
        <v>621</v>
      </c>
      <c r="F118" s="450" t="s">
        <v>884</v>
      </c>
      <c r="G118" s="450" t="s">
        <v>48</v>
      </c>
      <c r="H118" s="450" t="s">
        <v>62</v>
      </c>
      <c r="I118" s="450" t="s">
        <v>69</v>
      </c>
      <c r="J118" s="449">
        <v>5182318.10544354</v>
      </c>
      <c r="K118" s="52" t="s">
        <v>358</v>
      </c>
      <c r="L118" s="52" t="s">
        <v>350</v>
      </c>
      <c r="M118" s="52" t="s">
        <v>359</v>
      </c>
      <c r="N118" s="52" t="s">
        <v>360</v>
      </c>
      <c r="O118" s="448"/>
      <c r="P118" s="52" t="s">
        <v>353</v>
      </c>
      <c r="Q118" s="434">
        <v>112532.88860732206</v>
      </c>
      <c r="R118" s="449">
        <v>33181.263404061829</v>
      </c>
      <c r="S118" s="672"/>
      <c r="T118" s="449">
        <v>70693.007813815624</v>
      </c>
      <c r="U118" s="449">
        <v>2553.7201478562524</v>
      </c>
      <c r="V118" s="41">
        <v>5273.9550705601014</v>
      </c>
      <c r="W118" s="672">
        <v>830.94217102825769</v>
      </c>
      <c r="X118" s="449"/>
      <c r="Y118" s="672"/>
      <c r="Z118" s="735"/>
      <c r="AA118" s="434">
        <f t="shared" si="14"/>
        <v>111701.9464362938</v>
      </c>
      <c r="AB118" s="448">
        <f t="shared" si="10"/>
        <v>0.2970517924052995</v>
      </c>
      <c r="AC118" s="448">
        <f t="shared" si="11"/>
        <v>2.2861912700086189E-2</v>
      </c>
      <c r="AD118" s="448">
        <f t="shared" si="12"/>
        <v>6.4027839914358054E-3</v>
      </c>
      <c r="AE118" s="448">
        <f t="shared" si="13"/>
        <v>4.927756451642381E-4</v>
      </c>
      <c r="AF118" s="721">
        <f t="shared" si="15"/>
        <v>2.1554436482577433E-2</v>
      </c>
    </row>
    <row r="119" spans="1:32">
      <c r="A119" s="105" t="s">
        <v>361</v>
      </c>
      <c r="B119" s="450" t="s">
        <v>362</v>
      </c>
      <c r="C119" s="450" t="s">
        <v>1384</v>
      </c>
      <c r="D119" s="450" t="s">
        <v>43</v>
      </c>
      <c r="E119" s="450" t="s">
        <v>44</v>
      </c>
      <c r="F119" s="450" t="s">
        <v>884</v>
      </c>
      <c r="G119" s="450" t="s">
        <v>97</v>
      </c>
      <c r="H119" s="450" t="s">
        <v>62</v>
      </c>
      <c r="I119" s="450" t="s">
        <v>46</v>
      </c>
      <c r="J119" s="449">
        <v>15389588239.907</v>
      </c>
      <c r="K119" s="52" t="s">
        <v>349</v>
      </c>
      <c r="L119" s="52"/>
      <c r="M119" s="52"/>
      <c r="N119" s="52" t="s">
        <v>351</v>
      </c>
      <c r="O119" s="448"/>
      <c r="P119" s="52" t="s">
        <v>353</v>
      </c>
      <c r="Q119" s="434">
        <v>361962069.69999999</v>
      </c>
      <c r="R119" s="449">
        <v>257532974</v>
      </c>
      <c r="S119" s="672"/>
      <c r="T119" s="449">
        <v>52556710</v>
      </c>
      <c r="U119" s="449">
        <v>10104994</v>
      </c>
      <c r="V119" s="41">
        <v>16734063</v>
      </c>
      <c r="W119" s="672">
        <v>25033328.699999999</v>
      </c>
      <c r="X119" s="449"/>
      <c r="Y119" s="672"/>
      <c r="Z119" s="735"/>
      <c r="AA119" s="434">
        <f t="shared" si="14"/>
        <v>336928741</v>
      </c>
      <c r="AB119" s="448">
        <f t="shared" si="10"/>
        <v>0.76435442472389137</v>
      </c>
      <c r="AC119" s="448">
        <f t="shared" si="11"/>
        <v>2.9991487131695898E-2</v>
      </c>
      <c r="AD119" s="448">
        <f t="shared" si="12"/>
        <v>1.6734234209865792E-2</v>
      </c>
      <c r="AE119" s="448">
        <f t="shared" si="13"/>
        <v>6.5661236951074296E-4</v>
      </c>
      <c r="AF119" s="721">
        <f t="shared" si="15"/>
        <v>2.1893291473926796E-2</v>
      </c>
    </row>
    <row r="120" spans="1:32">
      <c r="A120" s="105" t="s">
        <v>363</v>
      </c>
      <c r="B120" s="450" t="s">
        <v>364</v>
      </c>
      <c r="C120" s="450" t="s">
        <v>1384</v>
      </c>
      <c r="D120" s="450" t="s">
        <v>43</v>
      </c>
      <c r="E120" s="450" t="s">
        <v>44</v>
      </c>
      <c r="F120" s="450" t="s">
        <v>1348</v>
      </c>
      <c r="G120" s="450" t="s">
        <v>365</v>
      </c>
      <c r="H120" s="450" t="s">
        <v>62</v>
      </c>
      <c r="I120" s="450" t="s">
        <v>69</v>
      </c>
      <c r="J120" s="449">
        <v>1310692.1304838699</v>
      </c>
      <c r="K120" s="52" t="s">
        <v>349</v>
      </c>
      <c r="L120" s="52"/>
      <c r="M120" s="52"/>
      <c r="N120" s="52" t="s">
        <v>366</v>
      </c>
      <c r="O120" s="448"/>
      <c r="P120" s="52" t="s">
        <v>353</v>
      </c>
      <c r="Q120" s="434">
        <v>12490.787435923345</v>
      </c>
      <c r="R120" s="449">
        <v>4827.5039274527635</v>
      </c>
      <c r="S120" s="672"/>
      <c r="T120" s="449">
        <v>1718.6824290188945</v>
      </c>
      <c r="U120" s="449">
        <v>657.06212825435296</v>
      </c>
      <c r="V120" s="41">
        <v>3983.4394260887134</v>
      </c>
      <c r="W120" s="672">
        <v>1304.0995251086188</v>
      </c>
      <c r="X120" s="449"/>
      <c r="Y120" s="672"/>
      <c r="Z120" s="735"/>
      <c r="AA120" s="434">
        <f t="shared" si="14"/>
        <v>11186.687910814724</v>
      </c>
      <c r="AB120" s="448">
        <f t="shared" si="10"/>
        <v>0.43154005599689405</v>
      </c>
      <c r="AC120" s="448">
        <f t="shared" si="11"/>
        <v>5.8736073938304698E-2</v>
      </c>
      <c r="AD120" s="448">
        <f t="shared" si="12"/>
        <v>3.6831715207373585E-3</v>
      </c>
      <c r="AE120" s="448">
        <f t="shared" si="13"/>
        <v>5.0130928001512027E-4</v>
      </c>
      <c r="AF120" s="721">
        <f t="shared" si="15"/>
        <v>8.5349470334310472E-3</v>
      </c>
    </row>
    <row r="121" spans="1:32">
      <c r="A121" s="105" t="s">
        <v>367</v>
      </c>
      <c r="B121" s="450" t="s">
        <v>368</v>
      </c>
      <c r="C121" s="450" t="s">
        <v>1384</v>
      </c>
      <c r="D121" s="450" t="s">
        <v>43</v>
      </c>
      <c r="E121" s="450" t="s">
        <v>44</v>
      </c>
      <c r="F121" s="450" t="s">
        <v>1348</v>
      </c>
      <c r="G121" s="450" t="s">
        <v>48</v>
      </c>
      <c r="H121" s="450" t="s">
        <v>45</v>
      </c>
      <c r="I121" s="450" t="s">
        <v>46</v>
      </c>
      <c r="J121" s="449">
        <v>1745523506.75806</v>
      </c>
      <c r="K121" s="52" t="s">
        <v>349</v>
      </c>
      <c r="L121" s="52"/>
      <c r="M121" s="52"/>
      <c r="N121" s="52" t="s">
        <v>351</v>
      </c>
      <c r="O121" s="448"/>
      <c r="P121" s="52" t="s">
        <v>353</v>
      </c>
      <c r="Q121" s="434">
        <v>24640349.920000002</v>
      </c>
      <c r="R121" s="449">
        <v>12821067</v>
      </c>
      <c r="S121" s="672"/>
      <c r="T121" s="449">
        <v>8115555</v>
      </c>
      <c r="U121" s="449">
        <v>1307540</v>
      </c>
      <c r="V121" s="41">
        <v>2290485</v>
      </c>
      <c r="W121" s="672">
        <v>105702.92</v>
      </c>
      <c r="X121" s="449"/>
      <c r="Y121" s="672"/>
      <c r="Z121" s="735"/>
      <c r="AA121" s="434">
        <f t="shared" ref="AA121:AA138" si="16">+R121+T121+U121+V121+X121</f>
        <v>24534647</v>
      </c>
      <c r="AB121" s="448">
        <f t="shared" si="10"/>
        <v>0.52256985804605216</v>
      </c>
      <c r="AC121" s="448">
        <f t="shared" si="11"/>
        <v>5.3293613721037032E-2</v>
      </c>
      <c r="AD121" s="448">
        <f t="shared" si="12"/>
        <v>7.3451127701009396E-3</v>
      </c>
      <c r="AE121" s="448">
        <f t="shared" si="13"/>
        <v>7.4908186279798569E-4</v>
      </c>
      <c r="AF121" s="721">
        <f t="shared" ref="AF121:AF138" si="17">+(AA121/J121)+Z121</f>
        <v>1.4055752847217686E-2</v>
      </c>
    </row>
    <row r="122" spans="1:32">
      <c r="A122" s="105" t="s">
        <v>369</v>
      </c>
      <c r="B122" s="450" t="s">
        <v>370</v>
      </c>
      <c r="C122" s="450" t="s">
        <v>1384</v>
      </c>
      <c r="D122" s="450" t="s">
        <v>43</v>
      </c>
      <c r="E122" s="450" t="s">
        <v>44</v>
      </c>
      <c r="F122" s="450" t="s">
        <v>1348</v>
      </c>
      <c r="G122" s="450" t="s">
        <v>58</v>
      </c>
      <c r="H122" s="450" t="s">
        <v>62</v>
      </c>
      <c r="I122" s="450" t="s">
        <v>46</v>
      </c>
      <c r="J122" s="449">
        <v>8654666100.2522907</v>
      </c>
      <c r="K122" s="52" t="s">
        <v>349</v>
      </c>
      <c r="L122" s="52"/>
      <c r="M122" s="52"/>
      <c r="N122" s="52" t="s">
        <v>351</v>
      </c>
      <c r="O122" s="448"/>
      <c r="P122" s="52" t="s">
        <v>353</v>
      </c>
      <c r="Q122" s="434">
        <v>128773950.81999999</v>
      </c>
      <c r="R122" s="449">
        <v>86027406</v>
      </c>
      <c r="S122" s="672"/>
      <c r="T122" s="449">
        <v>115921</v>
      </c>
      <c r="U122" s="449">
        <v>7995578</v>
      </c>
      <c r="V122" s="41">
        <v>7421444</v>
      </c>
      <c r="W122" s="672">
        <v>27213601.82</v>
      </c>
      <c r="X122" s="449"/>
      <c r="Y122" s="672"/>
      <c r="Z122" s="735"/>
      <c r="AA122" s="434">
        <f t="shared" si="16"/>
        <v>101560349</v>
      </c>
      <c r="AB122" s="448">
        <f t="shared" si="10"/>
        <v>0.8470570143472036</v>
      </c>
      <c r="AC122" s="448">
        <f t="shared" si="11"/>
        <v>7.8727358449703633E-2</v>
      </c>
      <c r="AD122" s="448">
        <f t="shared" si="12"/>
        <v>9.9400028843969184E-3</v>
      </c>
      <c r="AE122" s="448">
        <f t="shared" si="13"/>
        <v>9.2384592396544589E-4</v>
      </c>
      <c r="AF122" s="721">
        <f t="shared" si="17"/>
        <v>1.1734750690964199E-2</v>
      </c>
    </row>
    <row r="123" spans="1:32">
      <c r="A123" s="105" t="s">
        <v>371</v>
      </c>
      <c r="B123" s="450" t="s">
        <v>372</v>
      </c>
      <c r="C123" s="450" t="s">
        <v>1384</v>
      </c>
      <c r="D123" s="450" t="s">
        <v>43</v>
      </c>
      <c r="E123" s="450" t="s">
        <v>44</v>
      </c>
      <c r="F123" s="450" t="s">
        <v>55</v>
      </c>
      <c r="G123" s="450" t="s">
        <v>58</v>
      </c>
      <c r="H123" s="450" t="s">
        <v>62</v>
      </c>
      <c r="I123" s="450" t="s">
        <v>46</v>
      </c>
      <c r="J123" s="449">
        <v>6887863987.1798296</v>
      </c>
      <c r="K123" s="52" t="s">
        <v>349</v>
      </c>
      <c r="L123" s="52"/>
      <c r="M123" s="52"/>
      <c r="N123" s="52" t="s">
        <v>351</v>
      </c>
      <c r="O123" s="448"/>
      <c r="P123" s="52" t="s">
        <v>353</v>
      </c>
      <c r="Q123" s="434">
        <v>93113513.350000009</v>
      </c>
      <c r="R123" s="449">
        <v>66005199</v>
      </c>
      <c r="S123" s="672"/>
      <c r="T123" s="449">
        <v>2958942</v>
      </c>
      <c r="U123" s="449">
        <v>5379193</v>
      </c>
      <c r="V123" s="41">
        <v>5472121</v>
      </c>
      <c r="W123" s="672">
        <v>13298058.35</v>
      </c>
      <c r="X123" s="449"/>
      <c r="Y123" s="672"/>
      <c r="Z123" s="729">
        <v>1E-3</v>
      </c>
      <c r="AA123" s="434">
        <f t="shared" si="16"/>
        <v>79815455</v>
      </c>
      <c r="AB123" s="448">
        <f t="shared" si="10"/>
        <v>0.82697265836547573</v>
      </c>
      <c r="AC123" s="448">
        <f t="shared" si="11"/>
        <v>6.7395381007350014E-2</v>
      </c>
      <c r="AD123" s="448">
        <f t="shared" si="12"/>
        <v>9.5828255498153648E-3</v>
      </c>
      <c r="AE123" s="448">
        <f t="shared" si="13"/>
        <v>7.8096678593133186E-4</v>
      </c>
      <c r="AF123" s="721">
        <f t="shared" si="17"/>
        <v>1.2587838428365899E-2</v>
      </c>
    </row>
    <row r="124" spans="1:32">
      <c r="A124" s="105" t="s">
        <v>373</v>
      </c>
      <c r="B124" s="450" t="s">
        <v>374</v>
      </c>
      <c r="C124" s="450" t="s">
        <v>1384</v>
      </c>
      <c r="D124" s="450" t="s">
        <v>43</v>
      </c>
      <c r="E124" s="450" t="s">
        <v>44</v>
      </c>
      <c r="F124" s="450" t="s">
        <v>55</v>
      </c>
      <c r="G124" s="450" t="s">
        <v>88</v>
      </c>
      <c r="H124" s="450" t="s">
        <v>45</v>
      </c>
      <c r="I124" s="450" t="s">
        <v>46</v>
      </c>
      <c r="J124" s="449">
        <v>14075728672.4928</v>
      </c>
      <c r="K124" s="52" t="s">
        <v>349</v>
      </c>
      <c r="L124" s="52"/>
      <c r="M124" s="52"/>
      <c r="N124" s="52" t="s">
        <v>351</v>
      </c>
      <c r="O124" s="448"/>
      <c r="P124" s="52" t="s">
        <v>353</v>
      </c>
      <c r="Q124" s="434">
        <v>15121552.32</v>
      </c>
      <c r="R124" s="449"/>
      <c r="S124" s="672"/>
      <c r="T124" s="449"/>
      <c r="U124" s="449">
        <v>5634534</v>
      </c>
      <c r="V124" s="41">
        <v>9320501</v>
      </c>
      <c r="W124" s="672">
        <v>166517.32</v>
      </c>
      <c r="X124" s="449"/>
      <c r="Y124" s="672"/>
      <c r="Z124" s="729">
        <v>1.2E-2</v>
      </c>
      <c r="AA124" s="434">
        <f t="shared" si="16"/>
        <v>14955035</v>
      </c>
      <c r="AB124" s="448">
        <f t="shared" si="10"/>
        <v>0</v>
      </c>
      <c r="AC124" s="448">
        <f t="shared" si="11"/>
        <v>0.37676501592941775</v>
      </c>
      <c r="AD124" s="448">
        <f t="shared" si="12"/>
        <v>0</v>
      </c>
      <c r="AE124" s="448">
        <f t="shared" si="13"/>
        <v>4.003014075577608E-4</v>
      </c>
      <c r="AF124" s="721">
        <f t="shared" si="17"/>
        <v>1.3062469684374179E-2</v>
      </c>
    </row>
    <row r="125" spans="1:32">
      <c r="A125" s="105" t="s">
        <v>375</v>
      </c>
      <c r="B125" s="450" t="s">
        <v>376</v>
      </c>
      <c r="C125" s="450" t="s">
        <v>1384</v>
      </c>
      <c r="D125" s="450" t="s">
        <v>43</v>
      </c>
      <c r="E125" s="450" t="s">
        <v>44</v>
      </c>
      <c r="F125" s="450" t="s">
        <v>55</v>
      </c>
      <c r="G125" s="450" t="s">
        <v>97</v>
      </c>
      <c r="H125" s="450" t="s">
        <v>45</v>
      </c>
      <c r="I125" s="450" t="s">
        <v>46</v>
      </c>
      <c r="J125" s="449">
        <v>7658786799.6314497</v>
      </c>
      <c r="K125" s="52" t="s">
        <v>349</v>
      </c>
      <c r="L125" s="52"/>
      <c r="M125" s="52"/>
      <c r="N125" s="52" t="s">
        <v>351</v>
      </c>
      <c r="O125" s="448"/>
      <c r="P125" s="52" t="s">
        <v>353</v>
      </c>
      <c r="Q125" s="434">
        <v>9258457.2100000009</v>
      </c>
      <c r="R125" s="449"/>
      <c r="S125" s="672"/>
      <c r="T125" s="449"/>
      <c r="U125" s="449">
        <v>3068017</v>
      </c>
      <c r="V125" s="41">
        <v>6022381.9000000004</v>
      </c>
      <c r="W125" s="672">
        <v>168058.31</v>
      </c>
      <c r="X125" s="449"/>
      <c r="Y125" s="672"/>
      <c r="Z125" s="729">
        <v>1.6500000000000001E-2</v>
      </c>
      <c r="AA125" s="434">
        <f t="shared" si="16"/>
        <v>9090398.9000000004</v>
      </c>
      <c r="AB125" s="448">
        <f t="shared" si="10"/>
        <v>0</v>
      </c>
      <c r="AC125" s="448">
        <f t="shared" si="11"/>
        <v>0.33750081088300754</v>
      </c>
      <c r="AD125" s="448">
        <f t="shared" si="12"/>
        <v>0</v>
      </c>
      <c r="AE125" s="448">
        <f t="shared" si="13"/>
        <v>4.005878581380065E-4</v>
      </c>
      <c r="AF125" s="721">
        <f t="shared" si="17"/>
        <v>1.7686924135352278E-2</v>
      </c>
    </row>
    <row r="126" spans="1:32">
      <c r="A126" s="105" t="s">
        <v>377</v>
      </c>
      <c r="B126" s="450" t="s">
        <v>378</v>
      </c>
      <c r="C126" s="450" t="s">
        <v>1384</v>
      </c>
      <c r="D126" s="450" t="s">
        <v>43</v>
      </c>
      <c r="E126" s="450" t="s">
        <v>44</v>
      </c>
      <c r="F126" s="450" t="s">
        <v>55</v>
      </c>
      <c r="G126" s="450" t="s">
        <v>884</v>
      </c>
      <c r="H126" s="450" t="s">
        <v>45</v>
      </c>
      <c r="I126" s="450" t="s">
        <v>46</v>
      </c>
      <c r="J126" s="449">
        <v>16449022608.8529</v>
      </c>
      <c r="K126" s="52" t="s">
        <v>349</v>
      </c>
      <c r="L126" s="52"/>
      <c r="M126" s="52"/>
      <c r="N126" s="52" t="s">
        <v>351</v>
      </c>
      <c r="O126" s="448"/>
      <c r="P126" s="52" t="s">
        <v>353</v>
      </c>
      <c r="Q126" s="434">
        <v>18689664.259999998</v>
      </c>
      <c r="R126" s="449"/>
      <c r="S126" s="672"/>
      <c r="T126" s="449"/>
      <c r="U126" s="449">
        <v>6600838</v>
      </c>
      <c r="V126" s="41">
        <v>11297089.9</v>
      </c>
      <c r="W126" s="672">
        <v>791736.3600000001</v>
      </c>
      <c r="X126" s="449"/>
      <c r="Y126" s="672"/>
      <c r="Z126" s="729">
        <v>1.0200000000000001E-2</v>
      </c>
      <c r="AA126" s="434">
        <f t="shared" si="16"/>
        <v>17897927.899999999</v>
      </c>
      <c r="AB126" s="448">
        <f t="shared" si="10"/>
        <v>0</v>
      </c>
      <c r="AC126" s="448">
        <f t="shared" si="11"/>
        <v>0.36880459217851697</v>
      </c>
      <c r="AD126" s="448">
        <f t="shared" si="12"/>
        <v>0</v>
      </c>
      <c r="AE126" s="448">
        <f t="shared" si="13"/>
        <v>4.0129059075202526E-4</v>
      </c>
      <c r="AF126" s="721">
        <f t="shared" si="17"/>
        <v>1.1288084582628472E-2</v>
      </c>
    </row>
    <row r="127" spans="1:32">
      <c r="A127" s="105" t="s">
        <v>379</v>
      </c>
      <c r="B127" s="450" t="s">
        <v>380</v>
      </c>
      <c r="C127" s="450" t="s">
        <v>1384</v>
      </c>
      <c r="D127" s="450" t="s">
        <v>43</v>
      </c>
      <c r="E127" s="450" t="s">
        <v>44</v>
      </c>
      <c r="F127" s="450" t="s">
        <v>1348</v>
      </c>
      <c r="G127" s="450" t="s">
        <v>365</v>
      </c>
      <c r="H127" s="450" t="s">
        <v>45</v>
      </c>
      <c r="I127" s="450" t="s">
        <v>46</v>
      </c>
      <c r="J127" s="449">
        <v>4094610911.5443501</v>
      </c>
      <c r="K127" s="52" t="s">
        <v>381</v>
      </c>
      <c r="L127" s="52"/>
      <c r="M127" s="52"/>
      <c r="N127" s="52" t="s">
        <v>351</v>
      </c>
      <c r="O127" s="448"/>
      <c r="P127" s="52" t="s">
        <v>353</v>
      </c>
      <c r="Q127" s="434">
        <v>47839263.090000004</v>
      </c>
      <c r="R127" s="449">
        <v>20597924</v>
      </c>
      <c r="S127" s="672"/>
      <c r="T127" s="449">
        <v>20622849</v>
      </c>
      <c r="U127" s="449">
        <v>2533063</v>
      </c>
      <c r="V127" s="41">
        <v>4071794</v>
      </c>
      <c r="W127" s="672">
        <v>13633.09</v>
      </c>
      <c r="X127" s="449"/>
      <c r="Y127" s="672"/>
      <c r="Z127" s="735"/>
      <c r="AA127" s="434">
        <f t="shared" si="16"/>
        <v>47825630</v>
      </c>
      <c r="AB127" s="448">
        <f t="shared" si="10"/>
        <v>0.43068798048243168</v>
      </c>
      <c r="AC127" s="448">
        <f t="shared" si="11"/>
        <v>5.2964550597660712E-2</v>
      </c>
      <c r="AD127" s="448">
        <f t="shared" si="12"/>
        <v>5.03049604589442E-3</v>
      </c>
      <c r="AE127" s="448">
        <f t="shared" si="13"/>
        <v>6.1863338293225367E-4</v>
      </c>
      <c r="AF127" s="721">
        <f t="shared" si="17"/>
        <v>1.1680140319354977E-2</v>
      </c>
    </row>
    <row r="128" spans="1:32">
      <c r="A128" s="105" t="s">
        <v>382</v>
      </c>
      <c r="B128" s="450" t="s">
        <v>383</v>
      </c>
      <c r="C128" s="450" t="s">
        <v>1384</v>
      </c>
      <c r="D128" s="450" t="s">
        <v>43</v>
      </c>
      <c r="E128" s="450" t="s">
        <v>44</v>
      </c>
      <c r="F128" s="450" t="s">
        <v>1348</v>
      </c>
      <c r="G128" s="450" t="s">
        <v>58</v>
      </c>
      <c r="H128" s="450" t="s">
        <v>62</v>
      </c>
      <c r="I128" s="450" t="s">
        <v>46</v>
      </c>
      <c r="J128" s="449">
        <v>4616110180.8708801</v>
      </c>
      <c r="K128" s="52" t="s">
        <v>349</v>
      </c>
      <c r="L128" s="52"/>
      <c r="M128" s="52"/>
      <c r="N128" s="52" t="s">
        <v>351</v>
      </c>
      <c r="O128" s="448"/>
      <c r="P128" s="52" t="s">
        <v>353</v>
      </c>
      <c r="Q128" s="434">
        <v>114193136.53</v>
      </c>
      <c r="R128" s="449">
        <v>70788112</v>
      </c>
      <c r="S128" s="672"/>
      <c r="T128" s="449">
        <v>22006738</v>
      </c>
      <c r="U128" s="449">
        <v>3429033</v>
      </c>
      <c r="V128" s="41">
        <v>4268924</v>
      </c>
      <c r="W128" s="672">
        <v>13700329.530000001</v>
      </c>
      <c r="X128" s="449"/>
      <c r="Y128" s="672"/>
      <c r="Z128" s="735"/>
      <c r="AA128" s="434">
        <f t="shared" si="16"/>
        <v>100492807</v>
      </c>
      <c r="AB128" s="448">
        <f t="shared" si="10"/>
        <v>0.70440973949508645</v>
      </c>
      <c r="AC128" s="448">
        <f t="shared" si="11"/>
        <v>3.4122173540241545E-2</v>
      </c>
      <c r="AD128" s="448">
        <f t="shared" si="12"/>
        <v>1.5335013512750477E-2</v>
      </c>
      <c r="AE128" s="448">
        <f t="shared" si="13"/>
        <v>7.4284037114406029E-4</v>
      </c>
      <c r="AF128" s="721">
        <f t="shared" si="17"/>
        <v>2.1770019142186275E-2</v>
      </c>
    </row>
    <row r="129" spans="1:32">
      <c r="A129" s="105" t="s">
        <v>384</v>
      </c>
      <c r="B129" s="450" t="s">
        <v>385</v>
      </c>
      <c r="C129" s="450" t="s">
        <v>1384</v>
      </c>
      <c r="D129" s="450" t="s">
        <v>43</v>
      </c>
      <c r="E129" s="450" t="s">
        <v>44</v>
      </c>
      <c r="F129" s="450" t="s">
        <v>1348</v>
      </c>
      <c r="G129" s="450" t="s">
        <v>81</v>
      </c>
      <c r="H129" s="450" t="s">
        <v>45</v>
      </c>
      <c r="I129" s="450" t="s">
        <v>46</v>
      </c>
      <c r="J129" s="449">
        <v>14601774964.0483</v>
      </c>
      <c r="K129" s="52" t="s">
        <v>349</v>
      </c>
      <c r="L129" s="52"/>
      <c r="M129" s="52"/>
      <c r="N129" s="52" t="s">
        <v>351</v>
      </c>
      <c r="O129" s="448"/>
      <c r="P129" s="52" t="s">
        <v>353</v>
      </c>
      <c r="Q129" s="434">
        <v>161553228.88999999</v>
      </c>
      <c r="R129" s="449">
        <v>131215402</v>
      </c>
      <c r="S129" s="672"/>
      <c r="T129" s="449">
        <v>14870238</v>
      </c>
      <c r="U129" s="449">
        <v>7075027</v>
      </c>
      <c r="V129" s="41">
        <v>7509215</v>
      </c>
      <c r="W129" s="672">
        <v>883346.89</v>
      </c>
      <c r="X129" s="449"/>
      <c r="Y129" s="672"/>
      <c r="Z129" s="735"/>
      <c r="AA129" s="434">
        <f t="shared" si="16"/>
        <v>160669882</v>
      </c>
      <c r="AB129" s="448">
        <f t="shared" si="10"/>
        <v>0.81667702973728451</v>
      </c>
      <c r="AC129" s="448">
        <f t="shared" si="11"/>
        <v>4.4034556520057694E-2</v>
      </c>
      <c r="AD129" s="448">
        <f t="shared" si="12"/>
        <v>8.9862638153972007E-3</v>
      </c>
      <c r="AE129" s="448">
        <f t="shared" si="13"/>
        <v>4.8453198446214577E-4</v>
      </c>
      <c r="AF129" s="721">
        <f t="shared" si="17"/>
        <v>1.1003448717405431E-2</v>
      </c>
    </row>
    <row r="130" spans="1:32">
      <c r="A130" s="105" t="s">
        <v>386</v>
      </c>
      <c r="B130" s="450" t="s">
        <v>387</v>
      </c>
      <c r="C130" s="450" t="s">
        <v>1384</v>
      </c>
      <c r="D130" s="450" t="s">
        <v>43</v>
      </c>
      <c r="E130" s="450" t="s">
        <v>44</v>
      </c>
      <c r="F130" s="450" t="s">
        <v>884</v>
      </c>
      <c r="G130" s="450" t="s">
        <v>97</v>
      </c>
      <c r="H130" s="450" t="s">
        <v>62</v>
      </c>
      <c r="I130" s="450" t="s">
        <v>46</v>
      </c>
      <c r="J130" s="449">
        <v>1318455663.8626201</v>
      </c>
      <c r="K130" s="52" t="s">
        <v>349</v>
      </c>
      <c r="L130" s="52"/>
      <c r="M130" s="52"/>
      <c r="N130" s="52" t="s">
        <v>351</v>
      </c>
      <c r="O130" s="448"/>
      <c r="P130" s="52" t="s">
        <v>353</v>
      </c>
      <c r="Q130" s="434">
        <v>33848608.359999999</v>
      </c>
      <c r="R130" s="449">
        <v>26509577</v>
      </c>
      <c r="S130" s="672"/>
      <c r="T130" s="449"/>
      <c r="U130" s="449">
        <v>635788</v>
      </c>
      <c r="V130" s="41">
        <v>3298806</v>
      </c>
      <c r="W130" s="672">
        <v>3404437.36</v>
      </c>
      <c r="X130" s="449"/>
      <c r="Y130" s="672"/>
      <c r="Z130" s="735"/>
      <c r="AA130" s="434">
        <f t="shared" si="16"/>
        <v>30444171</v>
      </c>
      <c r="AB130" s="448">
        <f t="shared" si="10"/>
        <v>0.87076035015044428</v>
      </c>
      <c r="AC130" s="448">
        <f t="shared" si="11"/>
        <v>2.088373501778058E-2</v>
      </c>
      <c r="AD130" s="448">
        <f t="shared" si="12"/>
        <v>2.0106536553786032E-2</v>
      </c>
      <c r="AE130" s="448">
        <f t="shared" si="13"/>
        <v>4.8222175187701081E-4</v>
      </c>
      <c r="AF130" s="721">
        <f t="shared" si="17"/>
        <v>2.3090781005717768E-2</v>
      </c>
    </row>
    <row r="131" spans="1:32">
      <c r="A131" s="105" t="s">
        <v>388</v>
      </c>
      <c r="B131" s="450" t="s">
        <v>389</v>
      </c>
      <c r="C131" s="450" t="s">
        <v>1384</v>
      </c>
      <c r="D131" s="450" t="s">
        <v>43</v>
      </c>
      <c r="E131" s="450" t="s">
        <v>44</v>
      </c>
      <c r="F131" s="450" t="s">
        <v>1348</v>
      </c>
      <c r="G131" s="450" t="s">
        <v>365</v>
      </c>
      <c r="H131" s="450" t="s">
        <v>62</v>
      </c>
      <c r="I131" s="450" t="s">
        <v>239</v>
      </c>
      <c r="J131" s="449">
        <v>2837473.0711693498</v>
      </c>
      <c r="K131" s="52" t="s">
        <v>349</v>
      </c>
      <c r="L131" s="52"/>
      <c r="M131" s="52"/>
      <c r="N131" s="52" t="s">
        <v>351</v>
      </c>
      <c r="O131" s="448"/>
      <c r="P131" s="52" t="s">
        <v>353</v>
      </c>
      <c r="Q131" s="434">
        <v>23060.21906245653</v>
      </c>
      <c r="R131" s="449">
        <v>13873.987944081235</v>
      </c>
      <c r="S131" s="672"/>
      <c r="T131" s="449">
        <v>666.42555756479805</v>
      </c>
      <c r="U131" s="449">
        <v>1309.8483113089444</v>
      </c>
      <c r="V131" s="41">
        <v>5776.0606482125468</v>
      </c>
      <c r="W131" s="672">
        <v>1433.8966012890064</v>
      </c>
      <c r="X131" s="449"/>
      <c r="Y131" s="672"/>
      <c r="Z131" s="735"/>
      <c r="AA131" s="434">
        <f t="shared" si="16"/>
        <v>21626.322461167525</v>
      </c>
      <c r="AB131" s="448">
        <f t="shared" ref="AB131:AB193" si="18">+R131/AA131</f>
        <v>0.64153246438424882</v>
      </c>
      <c r="AC131" s="448">
        <f t="shared" ref="AC131:AC193" si="19">+U131/AA131</f>
        <v>6.0567316225905866E-2</v>
      </c>
      <c r="AD131" s="448">
        <f t="shared" ref="AD131:AD193" si="20">+R131/J131</f>
        <v>4.8895575732683981E-3</v>
      </c>
      <c r="AE131" s="448">
        <f t="shared" ref="AE131:AE193" si="21">+U131/J131</f>
        <v>4.61624931217107E-4</v>
      </c>
      <c r="AF131" s="721">
        <f t="shared" si="17"/>
        <v>7.6216837724049696E-3</v>
      </c>
    </row>
    <row r="132" spans="1:32">
      <c r="A132" s="105" t="s">
        <v>390</v>
      </c>
      <c r="B132" s="450" t="s">
        <v>391</v>
      </c>
      <c r="C132" s="450" t="s">
        <v>1384</v>
      </c>
      <c r="D132" s="450" t="s">
        <v>43</v>
      </c>
      <c r="E132" s="450" t="s">
        <v>44</v>
      </c>
      <c r="F132" s="450" t="s">
        <v>884</v>
      </c>
      <c r="G132" s="450" t="s">
        <v>97</v>
      </c>
      <c r="H132" s="450" t="s">
        <v>45</v>
      </c>
      <c r="I132" s="450" t="s">
        <v>46</v>
      </c>
      <c r="J132" s="449">
        <v>41306788461.949303</v>
      </c>
      <c r="K132" s="52" t="s">
        <v>349</v>
      </c>
      <c r="L132" s="52" t="s">
        <v>350</v>
      </c>
      <c r="M132" s="52" t="s">
        <v>108</v>
      </c>
      <c r="N132" s="52" t="s">
        <v>351</v>
      </c>
      <c r="O132" s="448"/>
      <c r="P132" s="52" t="s">
        <v>353</v>
      </c>
      <c r="Q132" s="434">
        <v>1216614979.5999999</v>
      </c>
      <c r="R132" s="449">
        <v>458257575</v>
      </c>
      <c r="S132" s="672">
        <v>421131404</v>
      </c>
      <c r="T132" s="449">
        <v>216943501</v>
      </c>
      <c r="U132" s="449">
        <v>23463273</v>
      </c>
      <c r="V132" s="41">
        <v>94218360</v>
      </c>
      <c r="W132" s="672">
        <v>2600866.6000000015</v>
      </c>
      <c r="X132" s="449"/>
      <c r="Y132" s="672"/>
      <c r="Z132" s="735"/>
      <c r="AA132" s="434">
        <f t="shared" si="16"/>
        <v>792882709</v>
      </c>
      <c r="AB132" s="448">
        <f t="shared" si="18"/>
        <v>0.57796389024293882</v>
      </c>
      <c r="AC132" s="448">
        <f t="shared" si="19"/>
        <v>2.9592363074221108E-2</v>
      </c>
      <c r="AD132" s="448">
        <f t="shared" si="20"/>
        <v>1.1094001544616195E-2</v>
      </c>
      <c r="AE132" s="448">
        <f t="shared" si="21"/>
        <v>5.6802462436927848E-4</v>
      </c>
      <c r="AF132" s="721">
        <f t="shared" si="17"/>
        <v>1.9194973478279052E-2</v>
      </c>
    </row>
    <row r="133" spans="1:32">
      <c r="A133" s="105" t="s">
        <v>392</v>
      </c>
      <c r="B133" s="450" t="s">
        <v>393</v>
      </c>
      <c r="C133" s="450" t="s">
        <v>1384</v>
      </c>
      <c r="D133" s="450" t="s">
        <v>43</v>
      </c>
      <c r="E133" s="450" t="s">
        <v>44</v>
      </c>
      <c r="F133" s="450" t="s">
        <v>55</v>
      </c>
      <c r="G133" s="450" t="s">
        <v>97</v>
      </c>
      <c r="H133" s="450" t="s">
        <v>62</v>
      </c>
      <c r="I133" s="450" t="s">
        <v>69</v>
      </c>
      <c r="J133" s="449">
        <v>9571566.4713306408</v>
      </c>
      <c r="K133" s="52" t="s">
        <v>92</v>
      </c>
      <c r="L133" s="52"/>
      <c r="M133" s="52"/>
      <c r="N133" s="52" t="s">
        <v>351</v>
      </c>
      <c r="O133" s="448"/>
      <c r="P133" s="52" t="s">
        <v>353</v>
      </c>
      <c r="Q133" s="434">
        <v>10414.739944427602</v>
      </c>
      <c r="R133" s="449">
        <v>0</v>
      </c>
      <c r="S133" s="672"/>
      <c r="T133" s="449"/>
      <c r="U133" s="449">
        <v>3834.7379236132156</v>
      </c>
      <c r="V133" s="41">
        <v>6048.0381260314571</v>
      </c>
      <c r="W133" s="672">
        <v>531.96389478293088</v>
      </c>
      <c r="X133" s="449"/>
      <c r="Y133" s="672"/>
      <c r="Z133" s="729">
        <v>1.6799999999999999E-2</v>
      </c>
      <c r="AA133" s="434">
        <f t="shared" si="16"/>
        <v>9882.7760496446717</v>
      </c>
      <c r="AB133" s="448">
        <f t="shared" si="18"/>
        <v>0</v>
      </c>
      <c r="AC133" s="448">
        <f t="shared" si="19"/>
        <v>0.38802234355508752</v>
      </c>
      <c r="AD133" s="448">
        <f t="shared" si="20"/>
        <v>0</v>
      </c>
      <c r="AE133" s="448">
        <f t="shared" si="21"/>
        <v>4.0063848849603294E-4</v>
      </c>
      <c r="AF133" s="721">
        <f t="shared" si="17"/>
        <v>1.783251396511179E-2</v>
      </c>
    </row>
    <row r="134" spans="1:32">
      <c r="A134" s="105" t="s">
        <v>394</v>
      </c>
      <c r="B134" s="450" t="s">
        <v>395</v>
      </c>
      <c r="C134" s="450" t="s">
        <v>1384</v>
      </c>
      <c r="D134" s="450" t="s">
        <v>43</v>
      </c>
      <c r="E134" s="450" t="s">
        <v>44</v>
      </c>
      <c r="F134" s="450" t="s">
        <v>1348</v>
      </c>
      <c r="G134" s="450" t="s">
        <v>81</v>
      </c>
      <c r="H134" s="450" t="s">
        <v>45</v>
      </c>
      <c r="I134" s="450" t="s">
        <v>46</v>
      </c>
      <c r="J134" s="449">
        <v>240995435.219596</v>
      </c>
      <c r="K134" s="52" t="s">
        <v>349</v>
      </c>
      <c r="L134" s="52"/>
      <c r="M134" s="52"/>
      <c r="N134" s="52" t="s">
        <v>351</v>
      </c>
      <c r="O134" s="448"/>
      <c r="P134" s="52" t="s">
        <v>353</v>
      </c>
      <c r="Q134" s="434">
        <v>2507843</v>
      </c>
      <c r="R134" s="449">
        <v>1205188</v>
      </c>
      <c r="S134" s="672"/>
      <c r="T134" s="449"/>
      <c r="U134" s="449">
        <v>105999</v>
      </c>
      <c r="V134" s="41">
        <v>1107988</v>
      </c>
      <c r="W134" s="672">
        <v>88668</v>
      </c>
      <c r="X134" s="449"/>
      <c r="Y134" s="672"/>
      <c r="Z134" s="735"/>
      <c r="AA134" s="434">
        <f t="shared" si="16"/>
        <v>2419175</v>
      </c>
      <c r="AB134" s="448">
        <f t="shared" si="18"/>
        <v>0.49818140481775813</v>
      </c>
      <c r="AC134" s="448">
        <f t="shared" si="19"/>
        <v>4.3816177002490519E-2</v>
      </c>
      <c r="AD134" s="448">
        <f t="shared" si="20"/>
        <v>5.0008748045448576E-3</v>
      </c>
      <c r="AE134" s="448">
        <f t="shared" si="21"/>
        <v>4.3983820649305368E-4</v>
      </c>
      <c r="AF134" s="721">
        <f t="shared" si="17"/>
        <v>1.0038260674089691E-2</v>
      </c>
    </row>
    <row r="135" spans="1:32" ht="38.25">
      <c r="A135" s="105" t="s">
        <v>396</v>
      </c>
      <c r="B135" s="450" t="s">
        <v>397</v>
      </c>
      <c r="C135" s="450" t="s">
        <v>1384</v>
      </c>
      <c r="D135" s="450" t="s">
        <v>553</v>
      </c>
      <c r="E135" s="450" t="s">
        <v>621</v>
      </c>
      <c r="F135" s="450" t="s">
        <v>884</v>
      </c>
      <c r="G135" s="450" t="s">
        <v>97</v>
      </c>
      <c r="H135" s="450" t="s">
        <v>62</v>
      </c>
      <c r="I135" s="450" t="s">
        <v>46</v>
      </c>
      <c r="J135" s="449">
        <v>542166890.86423302</v>
      </c>
      <c r="K135" s="52" t="s">
        <v>398</v>
      </c>
      <c r="L135" s="52" t="s">
        <v>399</v>
      </c>
      <c r="M135" s="52" t="s">
        <v>108</v>
      </c>
      <c r="N135" s="52" t="s">
        <v>398</v>
      </c>
      <c r="O135" s="448"/>
      <c r="P135" s="52" t="s">
        <v>353</v>
      </c>
      <c r="Q135" s="434">
        <v>16044005.460000001</v>
      </c>
      <c r="R135" s="449">
        <v>13498263</v>
      </c>
      <c r="S135" s="672"/>
      <c r="T135" s="449"/>
      <c r="U135" s="449">
        <v>285322</v>
      </c>
      <c r="V135" s="41">
        <v>2013142</v>
      </c>
      <c r="W135" s="672">
        <v>247278.46</v>
      </c>
      <c r="X135" s="449"/>
      <c r="Y135" s="672"/>
      <c r="Z135" s="735"/>
      <c r="AA135" s="434">
        <f t="shared" si="16"/>
        <v>15796727</v>
      </c>
      <c r="AB135" s="448">
        <f t="shared" si="18"/>
        <v>0.85449745380799458</v>
      </c>
      <c r="AC135" s="448">
        <f t="shared" si="19"/>
        <v>1.8062096027867038E-2</v>
      </c>
      <c r="AD135" s="448">
        <f t="shared" si="20"/>
        <v>2.489687811530375E-2</v>
      </c>
      <c r="AE135" s="448">
        <f t="shared" si="21"/>
        <v>5.2626230927747494E-4</v>
      </c>
      <c r="AF135" s="721">
        <f t="shared" si="17"/>
        <v>2.9136281219274501E-2</v>
      </c>
    </row>
    <row r="136" spans="1:32">
      <c r="A136" s="105" t="s">
        <v>400</v>
      </c>
      <c r="B136" s="450" t="s">
        <v>401</v>
      </c>
      <c r="C136" s="450" t="s">
        <v>1384</v>
      </c>
      <c r="D136" s="450" t="s">
        <v>43</v>
      </c>
      <c r="E136" s="450" t="s">
        <v>44</v>
      </c>
      <c r="F136" s="450" t="s">
        <v>884</v>
      </c>
      <c r="G136" s="450" t="s">
        <v>97</v>
      </c>
      <c r="H136" s="450" t="s">
        <v>45</v>
      </c>
      <c r="I136" s="450" t="s">
        <v>46</v>
      </c>
      <c r="J136" s="449">
        <v>803734894.83907199</v>
      </c>
      <c r="K136" s="52" t="s">
        <v>349</v>
      </c>
      <c r="L136" s="52" t="s">
        <v>350</v>
      </c>
      <c r="M136" s="52" t="s">
        <v>108</v>
      </c>
      <c r="N136" s="52" t="s">
        <v>351</v>
      </c>
      <c r="O136" s="448"/>
      <c r="P136" s="52" t="s">
        <v>353</v>
      </c>
      <c r="Q136" s="434">
        <v>41381195.239999995</v>
      </c>
      <c r="R136" s="449">
        <v>14251514</v>
      </c>
      <c r="S136" s="672"/>
      <c r="T136" s="449">
        <v>1788094</v>
      </c>
      <c r="U136" s="449">
        <v>426414</v>
      </c>
      <c r="V136" s="41">
        <v>24648901</v>
      </c>
      <c r="W136" s="672">
        <v>266272.24</v>
      </c>
      <c r="X136" s="449"/>
      <c r="Y136" s="672"/>
      <c r="Z136" s="735"/>
      <c r="AA136" s="434">
        <f t="shared" si="16"/>
        <v>41114923</v>
      </c>
      <c r="AB136" s="448">
        <f t="shared" si="18"/>
        <v>0.34662630889519119</v>
      </c>
      <c r="AC136" s="448">
        <f t="shared" si="19"/>
        <v>1.0371270791386378E-2</v>
      </c>
      <c r="AD136" s="448">
        <f t="shared" si="20"/>
        <v>1.7731610374902923E-2</v>
      </c>
      <c r="AE136" s="448">
        <f t="shared" si="21"/>
        <v>5.3054060827529312E-4</v>
      </c>
      <c r="AF136" s="721">
        <f t="shared" si="17"/>
        <v>5.1154831355471067E-2</v>
      </c>
    </row>
    <row r="137" spans="1:32">
      <c r="A137" s="105" t="s">
        <v>402</v>
      </c>
      <c r="B137" s="450" t="s">
        <v>403</v>
      </c>
      <c r="C137" s="450" t="s">
        <v>1384</v>
      </c>
      <c r="D137" s="450" t="s">
        <v>43</v>
      </c>
      <c r="E137" s="450" t="s">
        <v>44</v>
      </c>
      <c r="F137" s="450" t="s">
        <v>884</v>
      </c>
      <c r="G137" s="450" t="s">
        <v>97</v>
      </c>
      <c r="H137" s="450" t="s">
        <v>45</v>
      </c>
      <c r="I137" s="450" t="s">
        <v>46</v>
      </c>
      <c r="J137" s="449">
        <v>1395468967.81991</v>
      </c>
      <c r="K137" s="52" t="s">
        <v>358</v>
      </c>
      <c r="L137" s="52" t="s">
        <v>350</v>
      </c>
      <c r="M137" s="52" t="s">
        <v>108</v>
      </c>
      <c r="N137" s="52" t="s">
        <v>204</v>
      </c>
      <c r="O137" s="448"/>
      <c r="P137" s="52" t="s">
        <v>353</v>
      </c>
      <c r="Q137" s="434">
        <v>48980898.219999999</v>
      </c>
      <c r="R137" s="449">
        <v>12558762</v>
      </c>
      <c r="S137" s="672">
        <v>33490312</v>
      </c>
      <c r="T137" s="449"/>
      <c r="U137" s="449">
        <v>1039058</v>
      </c>
      <c r="V137" s="41">
        <v>1437372</v>
      </c>
      <c r="W137" s="672">
        <v>455394.22</v>
      </c>
      <c r="X137" s="449"/>
      <c r="Y137" s="672"/>
      <c r="Z137" s="729">
        <v>5.9999999999999995E-4</v>
      </c>
      <c r="AA137" s="434">
        <f t="shared" si="16"/>
        <v>15035192</v>
      </c>
      <c r="AB137" s="448">
        <f t="shared" si="18"/>
        <v>0.83529109571730109</v>
      </c>
      <c r="AC137" s="448">
        <f t="shared" si="19"/>
        <v>6.9108395822281482E-2</v>
      </c>
      <c r="AD137" s="448">
        <f t="shared" si="20"/>
        <v>8.9996712858617656E-3</v>
      </c>
      <c r="AE137" s="448">
        <f t="shared" si="21"/>
        <v>7.4459412854108978E-4</v>
      </c>
      <c r="AF137" s="721">
        <f t="shared" si="17"/>
        <v>1.1374293335586623E-2</v>
      </c>
    </row>
    <row r="138" spans="1:32">
      <c r="A138" s="105" t="s">
        <v>405</v>
      </c>
      <c r="B138" s="450" t="s">
        <v>406</v>
      </c>
      <c r="C138" s="450" t="s">
        <v>1384</v>
      </c>
      <c r="D138" s="450" t="s">
        <v>43</v>
      </c>
      <c r="E138" s="450" t="s">
        <v>44</v>
      </c>
      <c r="F138" s="450" t="s">
        <v>884</v>
      </c>
      <c r="G138" s="450" t="s">
        <v>97</v>
      </c>
      <c r="H138" s="450" t="s">
        <v>45</v>
      </c>
      <c r="I138" s="450" t="s">
        <v>46</v>
      </c>
      <c r="J138" s="449">
        <v>1586382180.78491</v>
      </c>
      <c r="K138" s="52" t="s">
        <v>358</v>
      </c>
      <c r="L138" s="52" t="s">
        <v>350</v>
      </c>
      <c r="M138" s="52" t="s">
        <v>108</v>
      </c>
      <c r="N138" s="52" t="s">
        <v>204</v>
      </c>
      <c r="O138" s="448"/>
      <c r="P138" s="52" t="s">
        <v>353</v>
      </c>
      <c r="Q138" s="434">
        <v>8053253.7599999998</v>
      </c>
      <c r="R138" s="449">
        <v>4133986</v>
      </c>
      <c r="S138" s="672"/>
      <c r="T138" s="449"/>
      <c r="U138" s="449">
        <v>1182288</v>
      </c>
      <c r="V138" s="41">
        <v>1510347</v>
      </c>
      <c r="W138" s="672">
        <v>1226632.76</v>
      </c>
      <c r="X138" s="449"/>
      <c r="Y138" s="672"/>
      <c r="Z138" s="735"/>
      <c r="AA138" s="434">
        <f t="shared" si="16"/>
        <v>6826621</v>
      </c>
      <c r="AB138" s="448">
        <f t="shared" si="18"/>
        <v>0.60556840639021858</v>
      </c>
      <c r="AC138" s="448">
        <f t="shared" si="19"/>
        <v>0.1731878772821869</v>
      </c>
      <c r="AD138" s="448">
        <f t="shared" si="20"/>
        <v>2.6059205972387982E-3</v>
      </c>
      <c r="AE138" s="448">
        <f t="shared" si="21"/>
        <v>7.4527312164779087E-4</v>
      </c>
      <c r="AF138" s="721">
        <f t="shared" si="17"/>
        <v>4.3032637927276299E-3</v>
      </c>
    </row>
    <row r="139" spans="1:32">
      <c r="A139" s="639" t="s">
        <v>407</v>
      </c>
      <c r="B139" s="625"/>
      <c r="C139" s="625"/>
      <c r="D139" s="625"/>
      <c r="E139" s="625"/>
      <c r="F139" s="625"/>
      <c r="G139" s="625"/>
      <c r="H139" s="625"/>
      <c r="I139" s="625"/>
      <c r="J139" s="624"/>
      <c r="K139" s="635"/>
      <c r="L139" s="635"/>
      <c r="M139" s="635" t="s">
        <v>108</v>
      </c>
      <c r="N139" s="635"/>
      <c r="O139" s="636"/>
      <c r="P139" s="635"/>
      <c r="Q139" s="434"/>
      <c r="R139" s="624"/>
      <c r="S139" s="672"/>
      <c r="T139" s="624"/>
      <c r="U139" s="624"/>
      <c r="V139" s="624"/>
      <c r="W139" s="672"/>
      <c r="X139" s="624"/>
      <c r="Y139" s="672"/>
      <c r="Z139" s="636"/>
      <c r="AA139" s="434"/>
      <c r="AB139" s="636"/>
      <c r="AC139" s="636"/>
      <c r="AD139" s="636"/>
      <c r="AE139" s="636"/>
      <c r="AF139" s="721"/>
    </row>
    <row r="140" spans="1:32">
      <c r="A140" s="639" t="s">
        <v>410</v>
      </c>
      <c r="B140" s="625" t="s">
        <v>411</v>
      </c>
      <c r="C140" s="625" t="s">
        <v>1384</v>
      </c>
      <c r="D140" s="625" t="s">
        <v>43</v>
      </c>
      <c r="E140" s="625" t="s">
        <v>44</v>
      </c>
      <c r="F140" s="625" t="s">
        <v>884</v>
      </c>
      <c r="G140" s="625" t="s">
        <v>97</v>
      </c>
      <c r="H140" s="625" t="s">
        <v>45</v>
      </c>
      <c r="I140" s="625" t="s">
        <v>46</v>
      </c>
      <c r="J140" s="624">
        <v>1034665865.8508</v>
      </c>
      <c r="K140" s="635" t="s">
        <v>1374</v>
      </c>
      <c r="L140" s="635" t="s">
        <v>350</v>
      </c>
      <c r="M140" s="635" t="s">
        <v>108</v>
      </c>
      <c r="N140" s="915" t="s">
        <v>409</v>
      </c>
      <c r="O140" s="636"/>
      <c r="P140" s="635" t="s">
        <v>353</v>
      </c>
      <c r="Q140" s="434">
        <v>8824456.4350992609</v>
      </c>
      <c r="R140" s="624">
        <v>3437083.8506492195</v>
      </c>
      <c r="S140" s="672"/>
      <c r="T140" s="624">
        <v>384802.31138038292</v>
      </c>
      <c r="U140" s="624">
        <v>770787.76447586401</v>
      </c>
      <c r="V140" s="624">
        <v>2399138.5818648115</v>
      </c>
      <c r="W140" s="672">
        <v>1662614.6295835881</v>
      </c>
      <c r="X140" s="624"/>
      <c r="Y140" s="672"/>
      <c r="Z140" s="636">
        <v>2.0000000000000001E-4</v>
      </c>
      <c r="AA140" s="434">
        <f>+R140+T140+U140+V140+X140</f>
        <v>6991812.5083702784</v>
      </c>
      <c r="AB140" s="636">
        <f t="shared" si="18"/>
        <v>0.4915869592519107</v>
      </c>
      <c r="AC140" s="636">
        <f t="shared" si="19"/>
        <v>0.11024148081103607</v>
      </c>
      <c r="AD140" s="636">
        <f t="shared" si="20"/>
        <v>3.3219263958446377E-3</v>
      </c>
      <c r="AE140" s="636">
        <f t="shared" si="21"/>
        <v>7.4496297782284478E-4</v>
      </c>
      <c r="AF140" s="721">
        <f>+(AA140/J140)+Z140</f>
        <v>6.9575559793121702E-3</v>
      </c>
    </row>
    <row r="141" spans="1:32">
      <c r="A141" s="639" t="s">
        <v>414</v>
      </c>
      <c r="B141" s="625" t="s">
        <v>415</v>
      </c>
      <c r="C141" s="625" t="s">
        <v>1384</v>
      </c>
      <c r="D141" s="625" t="s">
        <v>43</v>
      </c>
      <c r="E141" s="625" t="s">
        <v>44</v>
      </c>
      <c r="F141" s="625" t="s">
        <v>884</v>
      </c>
      <c r="G141" s="625" t="s">
        <v>97</v>
      </c>
      <c r="H141" s="625" t="s">
        <v>45</v>
      </c>
      <c r="I141" s="625" t="s">
        <v>46</v>
      </c>
      <c r="J141" s="624">
        <v>68962132.419354796</v>
      </c>
      <c r="K141" s="635" t="s">
        <v>1374</v>
      </c>
      <c r="L141" s="635" t="s">
        <v>350</v>
      </c>
      <c r="M141" s="635" t="s">
        <v>108</v>
      </c>
      <c r="N141" s="916"/>
      <c r="O141" s="636"/>
      <c r="P141" s="635" t="s">
        <v>353</v>
      </c>
      <c r="Q141" s="434">
        <v>588164.11490073928</v>
      </c>
      <c r="R141" s="624">
        <v>410450.07467539044</v>
      </c>
      <c r="S141" s="672"/>
      <c r="T141" s="624">
        <v>25647.688619617031</v>
      </c>
      <c r="U141" s="624">
        <v>51374.235524135889</v>
      </c>
      <c r="V141" s="624">
        <v>159906.41813518788</v>
      </c>
      <c r="W141" s="672">
        <v>110815.92041641167</v>
      </c>
      <c r="X141" s="624"/>
      <c r="Y141" s="672"/>
      <c r="Z141" s="636">
        <v>2.0000000000000001E-4</v>
      </c>
      <c r="AA141" s="434">
        <f>+R141+T141+U141+V141+X141</f>
        <v>647378.41695433122</v>
      </c>
      <c r="AB141" s="636">
        <f t="shared" si="18"/>
        <v>0.63401878086452379</v>
      </c>
      <c r="AC141" s="636">
        <f t="shared" si="19"/>
        <v>7.9357349857031217E-2</v>
      </c>
      <c r="AD141" s="636">
        <f t="shared" si="20"/>
        <v>5.9518181975503157E-3</v>
      </c>
      <c r="AE141" s="636">
        <f t="shared" si="21"/>
        <v>7.4496297782284478E-4</v>
      </c>
      <c r="AF141" s="721">
        <f>+(AA141/J141)+Z141</f>
        <v>9.5874477810178483E-3</v>
      </c>
    </row>
    <row r="142" spans="1:32">
      <c r="A142" s="105" t="s">
        <v>417</v>
      </c>
      <c r="B142" s="450" t="s">
        <v>418</v>
      </c>
      <c r="C142" s="450" t="s">
        <v>1384</v>
      </c>
      <c r="D142" s="450" t="s">
        <v>43</v>
      </c>
      <c r="E142" s="450" t="s">
        <v>44</v>
      </c>
      <c r="F142" s="450" t="s">
        <v>884</v>
      </c>
      <c r="G142" s="450" t="s">
        <v>97</v>
      </c>
      <c r="H142" s="450" t="s">
        <v>45</v>
      </c>
      <c r="I142" s="450" t="s">
        <v>46</v>
      </c>
      <c r="J142" s="449">
        <v>3092657276.5718098</v>
      </c>
      <c r="K142" s="52" t="s">
        <v>358</v>
      </c>
      <c r="L142" s="52" t="s">
        <v>350</v>
      </c>
      <c r="M142" s="52" t="s">
        <v>108</v>
      </c>
      <c r="N142" s="52" t="s">
        <v>204</v>
      </c>
      <c r="O142" s="448"/>
      <c r="P142" s="52" t="s">
        <v>353</v>
      </c>
      <c r="Q142" s="434">
        <v>11831578.99</v>
      </c>
      <c r="R142" s="449">
        <v>6374365</v>
      </c>
      <c r="S142" s="672"/>
      <c r="T142" s="449"/>
      <c r="U142" s="449">
        <v>2302949</v>
      </c>
      <c r="V142" s="41">
        <v>2072947</v>
      </c>
      <c r="W142" s="672">
        <v>1081317.99</v>
      </c>
      <c r="X142" s="449"/>
      <c r="Y142" s="672"/>
      <c r="Z142" s="735"/>
      <c r="AA142" s="434">
        <f>+R142+T142+U142+V142+X142</f>
        <v>10750261</v>
      </c>
      <c r="AB142" s="448">
        <f t="shared" si="18"/>
        <v>0.59294978977719703</v>
      </c>
      <c r="AC142" s="448">
        <f t="shared" si="19"/>
        <v>0.21422261282772576</v>
      </c>
      <c r="AD142" s="448">
        <f t="shared" si="20"/>
        <v>2.0611288060557236E-3</v>
      </c>
      <c r="AE142" s="448">
        <f t="shared" si="21"/>
        <v>7.4465056876680624E-4</v>
      </c>
      <c r="AF142" s="721">
        <f>+(AA142/J142)+Z142</f>
        <v>3.4760595949114006E-3</v>
      </c>
    </row>
    <row r="143" spans="1:32">
      <c r="A143" s="513" t="s">
        <v>420</v>
      </c>
      <c r="B143" s="514"/>
      <c r="C143" s="514"/>
      <c r="D143" s="514"/>
      <c r="E143" s="514"/>
      <c r="F143" s="514"/>
      <c r="G143" s="514"/>
      <c r="H143" s="514"/>
      <c r="I143" s="514"/>
      <c r="J143" s="515"/>
      <c r="K143" s="516"/>
      <c r="L143" s="516"/>
      <c r="M143" s="516" t="s">
        <v>108</v>
      </c>
      <c r="N143" s="516"/>
      <c r="O143" s="521"/>
      <c r="P143" s="516"/>
      <c r="Q143" s="434"/>
      <c r="R143" s="515"/>
      <c r="S143" s="672"/>
      <c r="T143" s="515"/>
      <c r="U143" s="515"/>
      <c r="V143" s="515"/>
      <c r="W143" s="672"/>
      <c r="X143" s="515"/>
      <c r="Y143" s="672"/>
      <c r="Z143" s="521"/>
      <c r="AA143" s="434"/>
      <c r="AB143" s="521"/>
      <c r="AC143" s="521"/>
      <c r="AD143" s="521"/>
      <c r="AE143" s="521"/>
      <c r="AF143" s="721"/>
    </row>
    <row r="144" spans="1:32">
      <c r="A144" s="513" t="s">
        <v>422</v>
      </c>
      <c r="B144" s="514" t="s">
        <v>423</v>
      </c>
      <c r="C144" s="514" t="s">
        <v>1384</v>
      </c>
      <c r="D144" s="514" t="s">
        <v>43</v>
      </c>
      <c r="E144" s="514" t="s">
        <v>44</v>
      </c>
      <c r="F144" s="514" t="s">
        <v>884</v>
      </c>
      <c r="G144" s="514" t="s">
        <v>97</v>
      </c>
      <c r="H144" s="514" t="s">
        <v>45</v>
      </c>
      <c r="I144" s="514" t="s">
        <v>46</v>
      </c>
      <c r="J144" s="515">
        <v>11000564545.649099</v>
      </c>
      <c r="K144" s="516" t="s">
        <v>358</v>
      </c>
      <c r="L144" s="516" t="s">
        <v>350</v>
      </c>
      <c r="M144" s="516" t="s">
        <v>108</v>
      </c>
      <c r="N144" s="917" t="s">
        <v>409</v>
      </c>
      <c r="O144" s="521"/>
      <c r="P144" s="516" t="s">
        <v>353</v>
      </c>
      <c r="Q144" s="434">
        <v>337012922.96197611</v>
      </c>
      <c r="R144" s="515">
        <v>117984267.95775864</v>
      </c>
      <c r="S144" s="672"/>
      <c r="T144" s="515">
        <v>45368796.141061455</v>
      </c>
      <c r="U144" s="515">
        <v>8149266.906646152</v>
      </c>
      <c r="V144" s="515">
        <v>6834567.3720621057</v>
      </c>
      <c r="W144" s="672">
        <v>2834661.8763356674</v>
      </c>
      <c r="X144" s="515"/>
      <c r="Y144" s="672"/>
      <c r="Z144" s="514"/>
      <c r="AA144" s="434">
        <f t="shared" ref="AA144:AA160" si="22">+R144+T144+U144+V144+X144</f>
        <v>178336898.37752837</v>
      </c>
      <c r="AB144" s="521">
        <f t="shared" si="18"/>
        <v>0.66158080033439359</v>
      </c>
      <c r="AC144" s="521">
        <f t="shared" si="19"/>
        <v>4.5695910273120539E-2</v>
      </c>
      <c r="AD144" s="521">
        <f t="shared" si="20"/>
        <v>1.0725292094615573E-2</v>
      </c>
      <c r="AE144" s="521">
        <f t="shared" si="21"/>
        <v>7.4080442624822548E-4</v>
      </c>
      <c r="AF144" s="721">
        <f t="shared" ref="AF144:AF160" si="23">+(AA144/J144)+Z144</f>
        <v>1.6211613289252823E-2</v>
      </c>
    </row>
    <row r="145" spans="1:32">
      <c r="A145" s="513" t="s">
        <v>424</v>
      </c>
      <c r="B145" s="514" t="s">
        <v>425</v>
      </c>
      <c r="C145" s="514" t="s">
        <v>1384</v>
      </c>
      <c r="D145" s="514" t="s">
        <v>43</v>
      </c>
      <c r="E145" s="514" t="s">
        <v>44</v>
      </c>
      <c r="F145" s="514" t="s">
        <v>884</v>
      </c>
      <c r="G145" s="514" t="s">
        <v>97</v>
      </c>
      <c r="H145" s="514" t="s">
        <v>45</v>
      </c>
      <c r="I145" s="514" t="s">
        <v>46</v>
      </c>
      <c r="J145" s="515">
        <v>19425969369.858799</v>
      </c>
      <c r="K145" s="516" t="s">
        <v>358</v>
      </c>
      <c r="L145" s="516" t="s">
        <v>350</v>
      </c>
      <c r="M145" s="516" t="s">
        <v>108</v>
      </c>
      <c r="N145" s="916"/>
      <c r="O145" s="521"/>
      <c r="P145" s="516" t="s">
        <v>353</v>
      </c>
      <c r="Q145" s="434">
        <v>595133339.88802397</v>
      </c>
      <c r="R145" s="515">
        <v>125485851.02112067</v>
      </c>
      <c r="S145" s="672">
        <v>513905996</v>
      </c>
      <c r="T145" s="515">
        <v>80117055.85893856</v>
      </c>
      <c r="U145" s="515">
        <v>14390844.093353851</v>
      </c>
      <c r="V145" s="515">
        <v>12069207.527937895</v>
      </c>
      <c r="W145" s="672">
        <v>5005748.0736643337</v>
      </c>
      <c r="X145" s="515"/>
      <c r="Y145" s="672"/>
      <c r="Z145" s="514"/>
      <c r="AA145" s="434">
        <f t="shared" si="22"/>
        <v>232062958.50135097</v>
      </c>
      <c r="AB145" s="521">
        <f t="shared" si="18"/>
        <v>0.54074054658055282</v>
      </c>
      <c r="AC145" s="521">
        <f t="shared" si="19"/>
        <v>6.201267184685174E-2</v>
      </c>
      <c r="AD145" s="521">
        <f t="shared" si="20"/>
        <v>6.4596957110322458E-3</v>
      </c>
      <c r="AE145" s="521">
        <f t="shared" si="21"/>
        <v>7.4080442624822548E-4</v>
      </c>
      <c r="AF145" s="721">
        <f t="shared" si="23"/>
        <v>1.1946016905669493E-2</v>
      </c>
    </row>
    <row r="146" spans="1:32">
      <c r="A146" s="105" t="s">
        <v>426</v>
      </c>
      <c r="B146" s="450" t="s">
        <v>427</v>
      </c>
      <c r="C146" s="450" t="s">
        <v>1384</v>
      </c>
      <c r="D146" s="450" t="s">
        <v>43</v>
      </c>
      <c r="E146" s="450" t="s">
        <v>44</v>
      </c>
      <c r="F146" s="450" t="s">
        <v>55</v>
      </c>
      <c r="G146" s="450" t="s">
        <v>97</v>
      </c>
      <c r="H146" s="450" t="s">
        <v>45</v>
      </c>
      <c r="I146" s="450" t="s">
        <v>46</v>
      </c>
      <c r="J146" s="449">
        <v>654232250.81354797</v>
      </c>
      <c r="K146" s="52" t="s">
        <v>428</v>
      </c>
      <c r="L146" s="52"/>
      <c r="M146" s="52"/>
      <c r="N146" s="52" t="s">
        <v>351</v>
      </c>
      <c r="O146" s="448"/>
      <c r="P146" s="52" t="s">
        <v>353</v>
      </c>
      <c r="Q146" s="434">
        <v>6824858.5</v>
      </c>
      <c r="R146" s="449">
        <v>3147977</v>
      </c>
      <c r="S146" s="672"/>
      <c r="T146" s="449">
        <v>783549</v>
      </c>
      <c r="U146" s="449">
        <v>277600</v>
      </c>
      <c r="V146" s="41">
        <v>1209090.8999999999</v>
      </c>
      <c r="W146" s="672">
        <v>1406641.6</v>
      </c>
      <c r="X146" s="449"/>
      <c r="Y146" s="672"/>
      <c r="Z146" s="729">
        <v>1.52E-2</v>
      </c>
      <c r="AA146" s="434">
        <f t="shared" si="22"/>
        <v>5418216.9000000004</v>
      </c>
      <c r="AB146" s="448">
        <f t="shared" si="18"/>
        <v>0.58099870457382385</v>
      </c>
      <c r="AC146" s="448">
        <f t="shared" si="19"/>
        <v>5.1234567593630292E-2</v>
      </c>
      <c r="AD146" s="448">
        <f t="shared" si="20"/>
        <v>4.8117117370558267E-3</v>
      </c>
      <c r="AE146" s="448">
        <f t="shared" si="21"/>
        <v>4.2431414785009465E-4</v>
      </c>
      <c r="AF146" s="721">
        <f t="shared" si="23"/>
        <v>2.3481794260772626E-2</v>
      </c>
    </row>
    <row r="147" spans="1:32">
      <c r="A147" s="105" t="s">
        <v>429</v>
      </c>
      <c r="B147" s="450" t="s">
        <v>430</v>
      </c>
      <c r="C147" s="450" t="s">
        <v>1384</v>
      </c>
      <c r="D147" s="450" t="s">
        <v>43</v>
      </c>
      <c r="E147" s="450" t="s">
        <v>44</v>
      </c>
      <c r="F147" s="450" t="s">
        <v>55</v>
      </c>
      <c r="G147" s="450" t="s">
        <v>97</v>
      </c>
      <c r="H147" s="450" t="s">
        <v>45</v>
      </c>
      <c r="I147" s="450" t="s">
        <v>46</v>
      </c>
      <c r="J147" s="449">
        <v>34267804.316209599</v>
      </c>
      <c r="K147" s="52" t="s">
        <v>428</v>
      </c>
      <c r="L147" s="52"/>
      <c r="M147" s="52"/>
      <c r="N147" s="52" t="s">
        <v>351</v>
      </c>
      <c r="O147" s="448"/>
      <c r="P147" s="52" t="s">
        <v>353</v>
      </c>
      <c r="Q147" s="434">
        <v>1098591.8999999999</v>
      </c>
      <c r="R147" s="449">
        <v>4995</v>
      </c>
      <c r="S147" s="672"/>
      <c r="T147" s="449"/>
      <c r="U147" s="449">
        <v>13706</v>
      </c>
      <c r="V147" s="41">
        <v>1042090.9</v>
      </c>
      <c r="W147" s="672">
        <v>37800</v>
      </c>
      <c r="X147" s="449"/>
      <c r="Y147" s="672"/>
      <c r="Z147" s="729">
        <v>1.6299999999999999E-2</v>
      </c>
      <c r="AA147" s="434">
        <f t="shared" si="22"/>
        <v>1060791.8999999999</v>
      </c>
      <c r="AB147" s="448">
        <f t="shared" si="18"/>
        <v>4.7087463620338731E-3</v>
      </c>
      <c r="AC147" s="448">
        <f t="shared" si="19"/>
        <v>1.2920536063670924E-2</v>
      </c>
      <c r="AD147" s="448">
        <f t="shared" si="20"/>
        <v>1.457636431534433E-4</v>
      </c>
      <c r="AE147" s="448">
        <f t="shared" si="21"/>
        <v>3.9996726587809687E-4</v>
      </c>
      <c r="AF147" s="721">
        <f t="shared" si="23"/>
        <v>4.7255934328661278E-2</v>
      </c>
    </row>
    <row r="148" spans="1:32">
      <c r="A148" s="103" t="s">
        <v>433</v>
      </c>
      <c r="B148" s="40" t="s">
        <v>434</v>
      </c>
      <c r="C148" s="40" t="s">
        <v>1385</v>
      </c>
      <c r="D148" s="40" t="s">
        <v>43</v>
      </c>
      <c r="E148" s="40" t="s">
        <v>44</v>
      </c>
      <c r="F148" s="40" t="s">
        <v>1348</v>
      </c>
      <c r="G148" s="40" t="s">
        <v>641</v>
      </c>
      <c r="H148" s="40" t="s">
        <v>45</v>
      </c>
      <c r="I148" s="40" t="s">
        <v>46</v>
      </c>
      <c r="J148" s="41">
        <v>2427549784.3346772</v>
      </c>
      <c r="K148" s="52">
        <v>8.0000000000000002E-3</v>
      </c>
      <c r="L148" s="52"/>
      <c r="M148" s="52"/>
      <c r="N148" s="640">
        <v>8.0000000000000004E-4</v>
      </c>
      <c r="O148" s="448"/>
      <c r="P148" s="640">
        <v>1.15E-2</v>
      </c>
      <c r="Q148" s="434">
        <v>28115000</v>
      </c>
      <c r="R148" s="449">
        <v>22186000</v>
      </c>
      <c r="S148" s="672"/>
      <c r="T148" s="449"/>
      <c r="U148" s="449">
        <v>1962000</v>
      </c>
      <c r="V148" s="41">
        <v>3444000</v>
      </c>
      <c r="W148" s="672">
        <v>523000</v>
      </c>
      <c r="X148" s="449"/>
      <c r="Y148" s="672"/>
      <c r="Z148" s="735"/>
      <c r="AA148" s="434">
        <f t="shared" si="22"/>
        <v>27592000</v>
      </c>
      <c r="AB148" s="448">
        <f t="shared" si="18"/>
        <v>0.80407364453464769</v>
      </c>
      <c r="AC148" s="448">
        <f t="shared" si="19"/>
        <v>7.1107567410843717E-2</v>
      </c>
      <c r="AD148" s="448">
        <f t="shared" si="20"/>
        <v>9.1392564400406551E-3</v>
      </c>
      <c r="AE148" s="448">
        <f t="shared" si="21"/>
        <v>8.0822235352743914E-4</v>
      </c>
      <c r="AF148" s="721">
        <f t="shared" si="23"/>
        <v>1.136619326122788E-2</v>
      </c>
    </row>
    <row r="149" spans="1:32">
      <c r="A149" s="103" t="s">
        <v>437</v>
      </c>
      <c r="B149" s="40" t="s">
        <v>438</v>
      </c>
      <c r="C149" s="40" t="s">
        <v>1385</v>
      </c>
      <c r="D149" s="40" t="s">
        <v>43</v>
      </c>
      <c r="E149" s="40" t="s">
        <v>44</v>
      </c>
      <c r="F149" s="40" t="s">
        <v>1348</v>
      </c>
      <c r="G149" s="40" t="s">
        <v>58</v>
      </c>
      <c r="H149" s="40" t="s">
        <v>45</v>
      </c>
      <c r="I149" s="40" t="s">
        <v>46</v>
      </c>
      <c r="J149" s="41">
        <v>241824683.33870968</v>
      </c>
      <c r="K149" s="52">
        <v>1.0999999999999999E-2</v>
      </c>
      <c r="L149" s="52"/>
      <c r="M149" s="52"/>
      <c r="N149" s="640">
        <v>2.5000000000000001E-3</v>
      </c>
      <c r="O149" s="448"/>
      <c r="P149" s="640">
        <v>2.7E-2</v>
      </c>
      <c r="Q149" s="434">
        <v>8249000</v>
      </c>
      <c r="R149" s="449">
        <v>3333000</v>
      </c>
      <c r="S149" s="672"/>
      <c r="T149" s="449"/>
      <c r="U149" s="449">
        <v>229000</v>
      </c>
      <c r="V149" s="41">
        <v>2856000</v>
      </c>
      <c r="W149" s="672">
        <v>1831000</v>
      </c>
      <c r="X149" s="449"/>
      <c r="Y149" s="672"/>
      <c r="Z149" s="735"/>
      <c r="AA149" s="434">
        <f t="shared" si="22"/>
        <v>6418000</v>
      </c>
      <c r="AB149" s="448">
        <f t="shared" si="18"/>
        <v>0.51932066064194449</v>
      </c>
      <c r="AC149" s="448">
        <f t="shared" si="19"/>
        <v>3.5680897475849176E-2</v>
      </c>
      <c r="AD149" s="448">
        <f t="shared" si="20"/>
        <v>1.378271214494536E-2</v>
      </c>
      <c r="AE149" s="448">
        <f t="shared" si="21"/>
        <v>9.4696702105985227E-4</v>
      </c>
      <c r="AF149" s="721">
        <f t="shared" si="23"/>
        <v>2.6539887952673064E-2</v>
      </c>
    </row>
    <row r="150" spans="1:32">
      <c r="A150" s="103" t="s">
        <v>440</v>
      </c>
      <c r="B150" s="40" t="s">
        <v>441</v>
      </c>
      <c r="C150" s="40" t="s">
        <v>1385</v>
      </c>
      <c r="D150" s="40" t="s">
        <v>43</v>
      </c>
      <c r="E150" s="40" t="s">
        <v>44</v>
      </c>
      <c r="F150" s="40" t="s">
        <v>1348</v>
      </c>
      <c r="G150" s="40" t="s">
        <v>58</v>
      </c>
      <c r="H150" s="40" t="s">
        <v>45</v>
      </c>
      <c r="I150" s="40" t="s">
        <v>46</v>
      </c>
      <c r="J150" s="41">
        <v>509938240.59274191</v>
      </c>
      <c r="K150" s="52">
        <v>1.7500000000000002E-2</v>
      </c>
      <c r="L150" s="52"/>
      <c r="M150" s="52"/>
      <c r="N150" s="640">
        <v>2.5000000000000001E-3</v>
      </c>
      <c r="O150" s="448"/>
      <c r="P150" s="640">
        <v>2.7E-2</v>
      </c>
      <c r="Q150" s="434">
        <v>14750000</v>
      </c>
      <c r="R150" s="449">
        <v>9982000</v>
      </c>
      <c r="S150" s="672"/>
      <c r="T150" s="449"/>
      <c r="U150" s="449">
        <v>473000</v>
      </c>
      <c r="V150" s="41">
        <v>3096000</v>
      </c>
      <c r="W150" s="672">
        <v>1199000</v>
      </c>
      <c r="X150" s="449"/>
      <c r="Y150" s="672"/>
      <c r="Z150" s="735"/>
      <c r="AA150" s="434">
        <f t="shared" si="22"/>
        <v>13551000</v>
      </c>
      <c r="AB150" s="448">
        <f t="shared" si="18"/>
        <v>0.73662460335030622</v>
      </c>
      <c r="AC150" s="448">
        <f t="shared" si="19"/>
        <v>3.4905173049959409E-2</v>
      </c>
      <c r="AD150" s="448">
        <f t="shared" si="20"/>
        <v>1.9574919481224088E-2</v>
      </c>
      <c r="AE150" s="448">
        <f t="shared" si="21"/>
        <v>9.2756330541164038E-4</v>
      </c>
      <c r="AF150" s="721">
        <f t="shared" si="23"/>
        <v>2.6573806240239195E-2</v>
      </c>
    </row>
    <row r="151" spans="1:32">
      <c r="A151" s="103" t="s">
        <v>442</v>
      </c>
      <c r="B151" s="40" t="s">
        <v>443</v>
      </c>
      <c r="C151" s="40" t="s">
        <v>1385</v>
      </c>
      <c r="D151" s="40" t="s">
        <v>43</v>
      </c>
      <c r="E151" s="40" t="s">
        <v>44</v>
      </c>
      <c r="F151" s="40" t="s">
        <v>884</v>
      </c>
      <c r="G151" s="40" t="s">
        <v>97</v>
      </c>
      <c r="H151" s="40" t="s">
        <v>45</v>
      </c>
      <c r="I151" s="40" t="s">
        <v>46</v>
      </c>
      <c r="J151" s="41">
        <v>2286513508.9395161</v>
      </c>
      <c r="K151" s="52">
        <v>2.3E-2</v>
      </c>
      <c r="L151" s="52">
        <v>2.5000000000000001E-3</v>
      </c>
      <c r="M151" s="52" t="s">
        <v>108</v>
      </c>
      <c r="N151" s="640">
        <v>8.4999999999999995E-4</v>
      </c>
      <c r="O151" s="448"/>
      <c r="P151" s="640">
        <v>2.7E-2</v>
      </c>
      <c r="Q151" s="434">
        <v>78395000</v>
      </c>
      <c r="R151" s="449">
        <v>54246000</v>
      </c>
      <c r="S151" s="672">
        <v>17605000</v>
      </c>
      <c r="T151" s="449"/>
      <c r="U151" s="449">
        <v>1942000</v>
      </c>
      <c r="V151" s="41">
        <v>4023000</v>
      </c>
      <c r="W151" s="672">
        <v>579000</v>
      </c>
      <c r="X151" s="449"/>
      <c r="Y151" s="672"/>
      <c r="Z151" s="735"/>
      <c r="AA151" s="434">
        <f t="shared" si="22"/>
        <v>60211000</v>
      </c>
      <c r="AB151" s="448">
        <f t="shared" si="18"/>
        <v>0.90093172343923866</v>
      </c>
      <c r="AC151" s="448">
        <f t="shared" si="19"/>
        <v>3.2253242762950295E-2</v>
      </c>
      <c r="AD151" s="448">
        <f t="shared" si="20"/>
        <v>2.3724329547110033E-2</v>
      </c>
      <c r="AE151" s="448">
        <f t="shared" si="21"/>
        <v>8.4932802382641458E-4</v>
      </c>
      <c r="AF151" s="721">
        <f t="shared" si="23"/>
        <v>2.6333104862313206E-2</v>
      </c>
    </row>
    <row r="152" spans="1:32">
      <c r="A152" s="103" t="s">
        <v>445</v>
      </c>
      <c r="B152" s="40" t="s">
        <v>446</v>
      </c>
      <c r="C152" s="40" t="s">
        <v>1385</v>
      </c>
      <c r="D152" s="40" t="s">
        <v>43</v>
      </c>
      <c r="E152" s="40" t="s">
        <v>44</v>
      </c>
      <c r="F152" s="40" t="s">
        <v>884</v>
      </c>
      <c r="G152" s="40" t="s">
        <v>97</v>
      </c>
      <c r="H152" s="40" t="s">
        <v>45</v>
      </c>
      <c r="I152" s="40" t="s">
        <v>69</v>
      </c>
      <c r="J152" s="41">
        <v>5981068.7377553238</v>
      </c>
      <c r="K152" s="52">
        <v>1.9E-2</v>
      </c>
      <c r="L152" s="52">
        <v>2.5000000000000001E-3</v>
      </c>
      <c r="M152" s="52" t="s">
        <v>108</v>
      </c>
      <c r="N152" s="640">
        <v>8.4999999999999995E-4</v>
      </c>
      <c r="O152" s="448"/>
      <c r="P152" s="640">
        <v>2.7E-2</v>
      </c>
      <c r="Q152" s="434">
        <v>324395</v>
      </c>
      <c r="R152" s="449">
        <v>118074</v>
      </c>
      <c r="S152" s="672">
        <v>184614</v>
      </c>
      <c r="T152" s="449"/>
      <c r="U152" s="449">
        <v>5122</v>
      </c>
      <c r="V152" s="41">
        <v>13114.8</v>
      </c>
      <c r="W152" s="672">
        <v>3470</v>
      </c>
      <c r="X152" s="449"/>
      <c r="Y152" s="672"/>
      <c r="Z152" s="735"/>
      <c r="AA152" s="434">
        <f t="shared" si="22"/>
        <v>136310.79999999999</v>
      </c>
      <c r="AB152" s="448">
        <f t="shared" si="18"/>
        <v>0.86621162813218033</v>
      </c>
      <c r="AC152" s="448">
        <f t="shared" si="19"/>
        <v>3.7575892739240037E-2</v>
      </c>
      <c r="AD152" s="448">
        <f t="shared" si="20"/>
        <v>1.9741287916432274E-2</v>
      </c>
      <c r="AE152" s="448">
        <f t="shared" si="21"/>
        <v>8.5636869004155106E-4</v>
      </c>
      <c r="AF152" s="721">
        <f t="shared" si="23"/>
        <v>2.2790375094595052E-2</v>
      </c>
    </row>
    <row r="153" spans="1:32">
      <c r="A153" s="103" t="s">
        <v>447</v>
      </c>
      <c r="B153" s="40" t="s">
        <v>448</v>
      </c>
      <c r="C153" s="40" t="s">
        <v>1385</v>
      </c>
      <c r="D153" s="40" t="s">
        <v>43</v>
      </c>
      <c r="E153" s="40" t="s">
        <v>44</v>
      </c>
      <c r="F153" s="40" t="s">
        <v>884</v>
      </c>
      <c r="G153" s="40" t="s">
        <v>97</v>
      </c>
      <c r="H153" s="40" t="s">
        <v>45</v>
      </c>
      <c r="I153" s="40" t="s">
        <v>46</v>
      </c>
      <c r="J153" s="41">
        <v>1381146828.6330645</v>
      </c>
      <c r="K153" s="52">
        <v>1.95E-2</v>
      </c>
      <c r="L153" s="52">
        <v>2.5000000000000001E-3</v>
      </c>
      <c r="M153" s="52" t="s">
        <v>108</v>
      </c>
      <c r="N153" s="640">
        <v>8.4999999999999995E-4</v>
      </c>
      <c r="O153" s="448"/>
      <c r="P153" s="640">
        <v>2.7E-2</v>
      </c>
      <c r="Q153" s="434">
        <v>78869000</v>
      </c>
      <c r="R153" s="449">
        <v>27591000</v>
      </c>
      <c r="S153" s="672">
        <v>44290000</v>
      </c>
      <c r="T153" s="449"/>
      <c r="U153" s="449">
        <v>1182000</v>
      </c>
      <c r="V153" s="41">
        <v>2804000</v>
      </c>
      <c r="W153" s="672">
        <v>3002000</v>
      </c>
      <c r="X153" s="449"/>
      <c r="Y153" s="672"/>
      <c r="Z153" s="735"/>
      <c r="AA153" s="434">
        <f t="shared" si="22"/>
        <v>31577000</v>
      </c>
      <c r="AB153" s="448">
        <f t="shared" si="18"/>
        <v>0.87376888241441553</v>
      </c>
      <c r="AC153" s="448">
        <f t="shared" si="19"/>
        <v>3.7432308325680085E-2</v>
      </c>
      <c r="AD153" s="448">
        <f t="shared" si="20"/>
        <v>1.9976876772259688E-2</v>
      </c>
      <c r="AE153" s="448">
        <f t="shared" si="21"/>
        <v>8.558105304197366E-4</v>
      </c>
      <c r="AF153" s="721">
        <f t="shared" si="23"/>
        <v>2.2862884195485638E-2</v>
      </c>
    </row>
    <row r="154" spans="1:32">
      <c r="A154" s="103" t="s">
        <v>449</v>
      </c>
      <c r="B154" s="40" t="s">
        <v>450</v>
      </c>
      <c r="C154" s="40" t="s">
        <v>1385</v>
      </c>
      <c r="D154" s="40" t="s">
        <v>553</v>
      </c>
      <c r="E154" s="40" t="s">
        <v>621</v>
      </c>
      <c r="F154" s="40" t="s">
        <v>884</v>
      </c>
      <c r="G154" s="40" t="s">
        <v>622</v>
      </c>
      <c r="H154" s="40" t="s">
        <v>45</v>
      </c>
      <c r="I154" s="40" t="s">
        <v>46</v>
      </c>
      <c r="J154" s="41">
        <v>345529004.07258064</v>
      </c>
      <c r="K154" s="52">
        <v>2.3E-2</v>
      </c>
      <c r="L154" s="52"/>
      <c r="M154" s="52"/>
      <c r="N154" s="640">
        <v>8.4999999999999995E-4</v>
      </c>
      <c r="O154" s="448"/>
      <c r="P154" s="640"/>
      <c r="Q154" s="434">
        <v>14546000</v>
      </c>
      <c r="R154" s="449">
        <v>11680000</v>
      </c>
      <c r="S154" s="672"/>
      <c r="T154" s="449"/>
      <c r="U154" s="449">
        <v>900000</v>
      </c>
      <c r="V154" s="41">
        <v>1937000</v>
      </c>
      <c r="W154" s="672">
        <v>29000</v>
      </c>
      <c r="X154" s="449"/>
      <c r="Y154" s="672"/>
      <c r="Z154" s="735"/>
      <c r="AA154" s="434">
        <f t="shared" si="22"/>
        <v>14517000</v>
      </c>
      <c r="AB154" s="448">
        <f t="shared" si="18"/>
        <v>0.80457394778535507</v>
      </c>
      <c r="AC154" s="448">
        <f t="shared" si="19"/>
        <v>6.1996280223186609E-2</v>
      </c>
      <c r="AD154" s="448">
        <f t="shared" si="20"/>
        <v>3.3803240429409916E-2</v>
      </c>
      <c r="AE154" s="448">
        <f t="shared" si="21"/>
        <v>2.6047017454168598E-3</v>
      </c>
      <c r="AF154" s="721">
        <f t="shared" si="23"/>
        <v>4.2013839153573949E-2</v>
      </c>
    </row>
    <row r="155" spans="1:32">
      <c r="A155" s="103" t="s">
        <v>451</v>
      </c>
      <c r="B155" s="40" t="s">
        <v>452</v>
      </c>
      <c r="C155" s="40" t="s">
        <v>1385</v>
      </c>
      <c r="D155" s="40" t="s">
        <v>43</v>
      </c>
      <c r="E155" s="40" t="s">
        <v>44</v>
      </c>
      <c r="F155" s="40" t="s">
        <v>884</v>
      </c>
      <c r="G155" s="40" t="s">
        <v>666</v>
      </c>
      <c r="H155" s="40" t="s">
        <v>45</v>
      </c>
      <c r="I155" s="40" t="s">
        <v>46</v>
      </c>
      <c r="J155" s="41">
        <v>193652399.33064517</v>
      </c>
      <c r="K155" s="52">
        <v>8.5000000000000006E-3</v>
      </c>
      <c r="L155" s="52">
        <v>2.5000000000000001E-3</v>
      </c>
      <c r="M155" s="52" t="s">
        <v>108</v>
      </c>
      <c r="N155" s="640">
        <v>8.4999999999999995E-4</v>
      </c>
      <c r="O155" s="448"/>
      <c r="P155" s="640">
        <v>2.5000000000000001E-2</v>
      </c>
      <c r="Q155" s="434">
        <v>5208000</v>
      </c>
      <c r="R155" s="449">
        <v>1911000</v>
      </c>
      <c r="S155" s="672"/>
      <c r="T155" s="449"/>
      <c r="U155" s="449">
        <v>900000</v>
      </c>
      <c r="V155" s="41">
        <v>2178000</v>
      </c>
      <c r="W155" s="672">
        <v>219000</v>
      </c>
      <c r="X155" s="449"/>
      <c r="Y155" s="672"/>
      <c r="Z155" s="733"/>
      <c r="AA155" s="434">
        <f t="shared" si="22"/>
        <v>4989000</v>
      </c>
      <c r="AB155" s="42">
        <f t="shared" si="18"/>
        <v>0.38304269392663859</v>
      </c>
      <c r="AC155" s="42">
        <f t="shared" si="19"/>
        <v>0.18039687312086591</v>
      </c>
      <c r="AD155" s="42">
        <f t="shared" si="20"/>
        <v>9.8681968651321908E-3</v>
      </c>
      <c r="AE155" s="42">
        <f t="shared" si="21"/>
        <v>4.647502448256919E-3</v>
      </c>
      <c r="AF155" s="721">
        <f t="shared" si="23"/>
        <v>2.5762655238170853E-2</v>
      </c>
    </row>
    <row r="156" spans="1:32">
      <c r="A156" s="103" t="s">
        <v>454</v>
      </c>
      <c r="B156" s="40" t="s">
        <v>455</v>
      </c>
      <c r="C156" s="40" t="s">
        <v>1386</v>
      </c>
      <c r="D156" s="40" t="s">
        <v>43</v>
      </c>
      <c r="E156" s="40" t="s">
        <v>44</v>
      </c>
      <c r="F156" s="40" t="s">
        <v>1348</v>
      </c>
      <c r="G156" s="40" t="s">
        <v>97</v>
      </c>
      <c r="H156" s="40" t="s">
        <v>45</v>
      </c>
      <c r="I156" s="40" t="s">
        <v>46</v>
      </c>
      <c r="J156" s="455">
        <v>197007956</v>
      </c>
      <c r="K156" s="444">
        <v>0.02</v>
      </c>
      <c r="L156" s="444">
        <v>2E-3</v>
      </c>
      <c r="M156" s="444" t="s">
        <v>108</v>
      </c>
      <c r="N156" s="444">
        <v>4.0000000000000002E-4</v>
      </c>
      <c r="O156" s="42"/>
      <c r="P156" s="444">
        <v>2.5000000000000001E-2</v>
      </c>
      <c r="Q156" s="434">
        <v>5758231</v>
      </c>
      <c r="R156" s="41">
        <v>3924857</v>
      </c>
      <c r="S156" s="672"/>
      <c r="T156" s="41"/>
      <c r="U156" s="41">
        <v>70370</v>
      </c>
      <c r="V156" s="41">
        <v>1306875</v>
      </c>
      <c r="W156" s="672">
        <v>456129</v>
      </c>
      <c r="X156" s="41"/>
      <c r="Y156" s="672"/>
      <c r="Z156" s="733"/>
      <c r="AA156" s="434">
        <f t="shared" si="22"/>
        <v>5302102</v>
      </c>
      <c r="AB156" s="42">
        <f t="shared" si="18"/>
        <v>0.74024547245601835</v>
      </c>
      <c r="AC156" s="42">
        <f t="shared" si="19"/>
        <v>1.327209472771365E-2</v>
      </c>
      <c r="AD156" s="42">
        <f t="shared" si="20"/>
        <v>1.9922327400828423E-2</v>
      </c>
      <c r="AE156" s="42">
        <f t="shared" si="21"/>
        <v>3.5719369627894624E-4</v>
      </c>
      <c r="AF156" s="721">
        <f t="shared" si="23"/>
        <v>2.6913136442063283E-2</v>
      </c>
    </row>
    <row r="157" spans="1:32">
      <c r="A157" s="103" t="s">
        <v>457</v>
      </c>
      <c r="B157" s="40" t="s">
        <v>458</v>
      </c>
      <c r="C157" s="40" t="s">
        <v>1386</v>
      </c>
      <c r="D157" s="40" t="s">
        <v>43</v>
      </c>
      <c r="E157" s="40" t="s">
        <v>44</v>
      </c>
      <c r="F157" s="40" t="s">
        <v>1348</v>
      </c>
      <c r="G157" s="40" t="s">
        <v>641</v>
      </c>
      <c r="H157" s="40" t="s">
        <v>45</v>
      </c>
      <c r="I157" s="40" t="s">
        <v>46</v>
      </c>
      <c r="J157" s="455">
        <v>398568943</v>
      </c>
      <c r="K157" s="444">
        <v>5.0000000000000001E-3</v>
      </c>
      <c r="L157" s="444"/>
      <c r="M157" s="444" t="s">
        <v>108</v>
      </c>
      <c r="N157" s="444">
        <v>5.0000000000000001E-4</v>
      </c>
      <c r="O157" s="42"/>
      <c r="P157" s="444">
        <v>1.4999999999999999E-2</v>
      </c>
      <c r="Q157" s="434">
        <v>4325098</v>
      </c>
      <c r="R157" s="41">
        <v>3101319</v>
      </c>
      <c r="S157" s="672"/>
      <c r="T157" s="41"/>
      <c r="U157" s="41">
        <v>218384</v>
      </c>
      <c r="V157" s="41">
        <v>1002826</v>
      </c>
      <c r="W157" s="672">
        <v>2569</v>
      </c>
      <c r="X157" s="41"/>
      <c r="Y157" s="672"/>
      <c r="Z157" s="733"/>
      <c r="AA157" s="434">
        <f t="shared" si="22"/>
        <v>4322529</v>
      </c>
      <c r="AB157" s="42">
        <f t="shared" si="18"/>
        <v>0.71747789315005173</v>
      </c>
      <c r="AC157" s="42">
        <f t="shared" si="19"/>
        <v>5.052227526987095E-2</v>
      </c>
      <c r="AD157" s="42">
        <f t="shared" si="20"/>
        <v>7.7811356214977341E-3</v>
      </c>
      <c r="AE157" s="42">
        <f t="shared" si="21"/>
        <v>5.4792026281887194E-4</v>
      </c>
      <c r="AF157" s="721">
        <f t="shared" si="23"/>
        <v>1.0845122471070206E-2</v>
      </c>
    </row>
    <row r="158" spans="1:32">
      <c r="A158" s="103" t="s">
        <v>459</v>
      </c>
      <c r="B158" s="40" t="s">
        <v>460</v>
      </c>
      <c r="C158" s="40" t="s">
        <v>1386</v>
      </c>
      <c r="D158" s="40" t="s">
        <v>43</v>
      </c>
      <c r="E158" s="40" t="s">
        <v>44</v>
      </c>
      <c r="F158" s="40" t="s">
        <v>1348</v>
      </c>
      <c r="G158" s="40" t="s">
        <v>759</v>
      </c>
      <c r="H158" s="40" t="s">
        <v>45</v>
      </c>
      <c r="I158" s="40" t="s">
        <v>46</v>
      </c>
      <c r="J158" s="455">
        <v>387012097</v>
      </c>
      <c r="K158" s="444">
        <v>1.4999999999999999E-2</v>
      </c>
      <c r="L158" s="444">
        <v>2.5000000000000001E-3</v>
      </c>
      <c r="M158" s="444" t="s">
        <v>108</v>
      </c>
      <c r="N158" s="444">
        <v>6.9999999999999999E-4</v>
      </c>
      <c r="O158" s="42"/>
      <c r="P158" s="444">
        <v>2.5000000000000001E-2</v>
      </c>
      <c r="Q158" s="434">
        <v>8672825</v>
      </c>
      <c r="R158" s="41">
        <v>5806611</v>
      </c>
      <c r="S158" s="672">
        <v>1223256</v>
      </c>
      <c r="T158" s="41"/>
      <c r="U158" s="41">
        <v>329576</v>
      </c>
      <c r="V158" s="41">
        <v>999638</v>
      </c>
      <c r="W158" s="672">
        <v>313744</v>
      </c>
      <c r="X158" s="41"/>
      <c r="Y158" s="672"/>
      <c r="Z158" s="733"/>
      <c r="AA158" s="434">
        <f t="shared" si="22"/>
        <v>7135825</v>
      </c>
      <c r="AB158" s="42">
        <f t="shared" si="18"/>
        <v>0.81372665389075549</v>
      </c>
      <c r="AC158" s="42">
        <f t="shared" si="19"/>
        <v>4.6186110225517024E-2</v>
      </c>
      <c r="AD158" s="42">
        <f t="shared" si="20"/>
        <v>1.5003693799266435E-2</v>
      </c>
      <c r="AE158" s="42">
        <f t="shared" si="21"/>
        <v>8.5159095169058761E-4</v>
      </c>
      <c r="AF158" s="721">
        <f t="shared" si="23"/>
        <v>1.8438247939314412E-2</v>
      </c>
    </row>
    <row r="159" spans="1:32">
      <c r="A159" s="103" t="s">
        <v>461</v>
      </c>
      <c r="B159" s="40" t="s">
        <v>462</v>
      </c>
      <c r="C159" s="40" t="s">
        <v>1386</v>
      </c>
      <c r="D159" s="40" t="s">
        <v>43</v>
      </c>
      <c r="E159" s="40" t="s">
        <v>44</v>
      </c>
      <c r="F159" s="40" t="s">
        <v>884</v>
      </c>
      <c r="G159" s="40" t="s">
        <v>884</v>
      </c>
      <c r="H159" s="40" t="s">
        <v>45</v>
      </c>
      <c r="I159" s="40" t="s">
        <v>46</v>
      </c>
      <c r="J159" s="455">
        <v>476620519</v>
      </c>
      <c r="K159" s="444">
        <v>0.02</v>
      </c>
      <c r="L159" s="444">
        <v>2.5000000000000001E-3</v>
      </c>
      <c r="M159" s="444" t="s">
        <v>108</v>
      </c>
      <c r="N159" s="444">
        <v>8.0000000000000004E-4</v>
      </c>
      <c r="O159" s="42"/>
      <c r="P159" s="444">
        <v>2.5000000000000001E-2</v>
      </c>
      <c r="Q159" s="434">
        <v>20576014</v>
      </c>
      <c r="R159" s="41">
        <v>9585102</v>
      </c>
      <c r="S159" s="672">
        <v>2125759</v>
      </c>
      <c r="T159" s="41"/>
      <c r="U159" s="41">
        <v>385092</v>
      </c>
      <c r="V159" s="41">
        <v>1086728</v>
      </c>
      <c r="W159" s="672">
        <v>7393333</v>
      </c>
      <c r="X159" s="41"/>
      <c r="Y159" s="672"/>
      <c r="Z159" s="733"/>
      <c r="AA159" s="434">
        <f t="shared" si="22"/>
        <v>11056922</v>
      </c>
      <c r="AB159" s="42">
        <f t="shared" si="18"/>
        <v>0.86688700526240481</v>
      </c>
      <c r="AC159" s="42">
        <f t="shared" si="19"/>
        <v>3.4828137523263705E-2</v>
      </c>
      <c r="AD159" s="42">
        <f t="shared" si="20"/>
        <v>2.0110552563096847E-2</v>
      </c>
      <c r="AE159" s="42">
        <f t="shared" si="21"/>
        <v>8.0796353629080753E-4</v>
      </c>
      <c r="AF159" s="721">
        <f t="shared" si="23"/>
        <v>2.3198585791477433E-2</v>
      </c>
    </row>
    <row r="160" spans="1:32">
      <c r="A160" s="103" t="s">
        <v>463</v>
      </c>
      <c r="B160" s="40" t="s">
        <v>464</v>
      </c>
      <c r="C160" s="40" t="s">
        <v>1386</v>
      </c>
      <c r="D160" s="40" t="s">
        <v>43</v>
      </c>
      <c r="E160" s="40" t="s">
        <v>44</v>
      </c>
      <c r="F160" s="40" t="s">
        <v>55</v>
      </c>
      <c r="G160" s="40" t="s">
        <v>97</v>
      </c>
      <c r="H160" s="40" t="s">
        <v>45</v>
      </c>
      <c r="I160" s="40" t="s">
        <v>46</v>
      </c>
      <c r="J160" s="455">
        <v>2825651200</v>
      </c>
      <c r="K160" s="444">
        <v>0.01</v>
      </c>
      <c r="L160" s="444">
        <v>2.5000000000000001E-3</v>
      </c>
      <c r="M160" s="444" t="s">
        <v>108</v>
      </c>
      <c r="N160" s="444">
        <v>8.0000000000000004E-4</v>
      </c>
      <c r="O160" s="42"/>
      <c r="P160" s="444">
        <v>2.5000000000000001E-2</v>
      </c>
      <c r="Q160" s="434">
        <v>33253946</v>
      </c>
      <c r="R160" s="41">
        <v>28343426</v>
      </c>
      <c r="S160" s="672"/>
      <c r="T160" s="41"/>
      <c r="U160" s="41">
        <v>2271564</v>
      </c>
      <c r="V160" s="41">
        <v>1452231</v>
      </c>
      <c r="W160" s="672">
        <v>1186725</v>
      </c>
      <c r="X160" s="41"/>
      <c r="Y160" s="672"/>
      <c r="Z160" s="734"/>
      <c r="AA160" s="434">
        <f t="shared" si="22"/>
        <v>32067221</v>
      </c>
      <c r="AB160" s="42">
        <f t="shared" si="18"/>
        <v>0.88387534423391412</v>
      </c>
      <c r="AC160" s="42">
        <f t="shared" si="19"/>
        <v>7.083756961664997E-2</v>
      </c>
      <c r="AD160" s="42">
        <f t="shared" si="20"/>
        <v>1.0030758927358054E-2</v>
      </c>
      <c r="AE160" s="42">
        <f t="shared" si="21"/>
        <v>8.0390813982985591E-4</v>
      </c>
      <c r="AF160" s="721">
        <f t="shared" si="23"/>
        <v>1.1348612666701396E-2</v>
      </c>
    </row>
    <row r="161" spans="1:32">
      <c r="A161" s="472" t="s">
        <v>465</v>
      </c>
      <c r="B161" s="473"/>
      <c r="C161" s="473" t="s">
        <v>1387</v>
      </c>
      <c r="D161" s="473"/>
      <c r="E161" s="473"/>
      <c r="F161" s="473" t="s">
        <v>1348</v>
      </c>
      <c r="G161" s="473"/>
      <c r="H161" s="473"/>
      <c r="I161" s="473"/>
      <c r="J161" s="474"/>
      <c r="K161" s="475">
        <v>1.4999999999999999E-2</v>
      </c>
      <c r="L161" s="476"/>
      <c r="M161" s="476"/>
      <c r="N161" s="477">
        <v>1.75E-3</v>
      </c>
      <c r="O161" s="478">
        <v>2.5000000000000001E-4</v>
      </c>
      <c r="P161" s="476"/>
      <c r="Q161" s="434"/>
      <c r="R161" s="474"/>
      <c r="S161" s="672"/>
      <c r="T161" s="474"/>
      <c r="U161" s="474"/>
      <c r="V161" s="41">
        <v>0</v>
      </c>
      <c r="W161" s="672">
        <v>0</v>
      </c>
      <c r="X161" s="474"/>
      <c r="Y161" s="672"/>
      <c r="Z161" s="479"/>
      <c r="AA161" s="434"/>
      <c r="AB161" s="479"/>
      <c r="AC161" s="479"/>
      <c r="AD161" s="479"/>
      <c r="AE161" s="479"/>
      <c r="AF161" s="721"/>
    </row>
    <row r="162" spans="1:32">
      <c r="A162" s="472" t="s">
        <v>467</v>
      </c>
      <c r="B162" s="473" t="s">
        <v>468</v>
      </c>
      <c r="C162" s="473" t="s">
        <v>1387</v>
      </c>
      <c r="D162" s="473" t="s">
        <v>43</v>
      </c>
      <c r="E162" s="473" t="s">
        <v>44</v>
      </c>
      <c r="F162" s="473" t="s">
        <v>55</v>
      </c>
      <c r="G162" s="473" t="s">
        <v>58</v>
      </c>
      <c r="H162" s="473" t="s">
        <v>62</v>
      </c>
      <c r="I162" s="473" t="s">
        <v>46</v>
      </c>
      <c r="J162" s="474">
        <v>1811439345</v>
      </c>
      <c r="K162" s="475">
        <v>1.4999999999999999E-2</v>
      </c>
      <c r="L162" s="476"/>
      <c r="M162" s="476"/>
      <c r="N162" s="477">
        <v>1.753E-3</v>
      </c>
      <c r="O162" s="478">
        <v>2.5000000000000001E-4</v>
      </c>
      <c r="P162" s="476"/>
      <c r="Q162" s="434">
        <v>32582001</v>
      </c>
      <c r="R162" s="474">
        <v>2957920</v>
      </c>
      <c r="S162" s="672"/>
      <c r="T162" s="474">
        <v>16760813</v>
      </c>
      <c r="U162" s="474">
        <v>3169362</v>
      </c>
      <c r="V162" s="41">
        <v>3102801</v>
      </c>
      <c r="W162" s="672">
        <v>6591105</v>
      </c>
      <c r="X162" s="474"/>
      <c r="Y162" s="672"/>
      <c r="Z162" s="479">
        <v>4.1999999999999997E-3</v>
      </c>
      <c r="AA162" s="434">
        <f>+R162+T162+U162+V162+X162</f>
        <v>25990896</v>
      </c>
      <c r="AB162" s="479">
        <f t="shared" si="18"/>
        <v>0.11380600345597935</v>
      </c>
      <c r="AC162" s="479">
        <f t="shared" si="19"/>
        <v>0.12194123665455781</v>
      </c>
      <c r="AD162" s="479">
        <f t="shared" si="20"/>
        <v>1.6329114238158495E-3</v>
      </c>
      <c r="AE162" s="479">
        <f t="shared" si="21"/>
        <v>1.7496373857331668E-3</v>
      </c>
      <c r="AF162" s="721">
        <f>+(AA162/J162)+Z162</f>
        <v>1.8548201098613104E-2</v>
      </c>
    </row>
    <row r="163" spans="1:32">
      <c r="A163" s="103" t="s">
        <v>470</v>
      </c>
      <c r="B163" s="40" t="s">
        <v>471</v>
      </c>
      <c r="C163" s="40" t="s">
        <v>1387</v>
      </c>
      <c r="D163" s="40" t="s">
        <v>43</v>
      </c>
      <c r="E163" s="40" t="s">
        <v>44</v>
      </c>
      <c r="F163" s="40" t="s">
        <v>1348</v>
      </c>
      <c r="G163" s="40" t="s">
        <v>81</v>
      </c>
      <c r="H163" s="40" t="s">
        <v>45</v>
      </c>
      <c r="I163" s="40" t="s">
        <v>46</v>
      </c>
      <c r="J163" s="41">
        <v>18644887267</v>
      </c>
      <c r="K163" s="444">
        <v>1.2999999999999999E-2</v>
      </c>
      <c r="L163" s="51"/>
      <c r="M163" s="51"/>
      <c r="N163" s="465">
        <v>1.4E-3</v>
      </c>
      <c r="O163" s="454">
        <v>2.5000000000000001E-4</v>
      </c>
      <c r="P163" s="51"/>
      <c r="Q163" s="434">
        <v>275152416</v>
      </c>
      <c r="R163" s="41">
        <v>36361427</v>
      </c>
      <c r="S163" s="672"/>
      <c r="T163" s="41">
        <v>206029455</v>
      </c>
      <c r="U163" s="41">
        <v>26105643</v>
      </c>
      <c r="V163" s="41">
        <v>5163712</v>
      </c>
      <c r="W163" s="672">
        <v>1492179</v>
      </c>
      <c r="X163" s="449"/>
      <c r="Y163" s="672"/>
      <c r="Z163" s="480"/>
      <c r="AA163" s="434">
        <f>+R163+T163+U163+V163+X163</f>
        <v>273660237</v>
      </c>
      <c r="AB163" s="42">
        <f t="shared" si="18"/>
        <v>0.1328706990778496</v>
      </c>
      <c r="AC163" s="42">
        <f t="shared" si="19"/>
        <v>9.5394359393177017E-2</v>
      </c>
      <c r="AD163" s="42">
        <f t="shared" si="20"/>
        <v>1.9502090025696694E-3</v>
      </c>
      <c r="AE163" s="42">
        <f t="shared" si="21"/>
        <v>1.4001502195298847E-3</v>
      </c>
      <c r="AF163" s="721">
        <f>+(AA163/J163)+Z163</f>
        <v>1.4677494858569477E-2</v>
      </c>
    </row>
    <row r="164" spans="1:32">
      <c r="A164" s="481" t="s">
        <v>472</v>
      </c>
      <c r="B164" s="482"/>
      <c r="C164" s="482" t="s">
        <v>1387</v>
      </c>
      <c r="D164" s="482"/>
      <c r="E164" s="482"/>
      <c r="F164" s="482"/>
      <c r="G164" s="482"/>
      <c r="H164" s="482"/>
      <c r="I164" s="482"/>
      <c r="J164" s="483"/>
      <c r="K164" s="484">
        <v>0.02</v>
      </c>
      <c r="L164" s="485"/>
      <c r="M164" s="485"/>
      <c r="N164" s="486">
        <v>1.6999999999999999E-3</v>
      </c>
      <c r="O164" s="487">
        <v>2.5000000000000001E-4</v>
      </c>
      <c r="P164" s="485"/>
      <c r="Q164" s="434"/>
      <c r="R164" s="483"/>
      <c r="S164" s="672"/>
      <c r="T164" s="483"/>
      <c r="U164" s="483"/>
      <c r="V164" s="41">
        <v>0</v>
      </c>
      <c r="W164" s="672">
        <v>0</v>
      </c>
      <c r="X164" s="483"/>
      <c r="Y164" s="672"/>
      <c r="Z164" s="488"/>
      <c r="AA164" s="434"/>
      <c r="AB164" s="489"/>
      <c r="AC164" s="489"/>
      <c r="AD164" s="489"/>
      <c r="AE164" s="489"/>
      <c r="AF164" s="721"/>
    </row>
    <row r="165" spans="1:32">
      <c r="A165" s="481" t="s">
        <v>473</v>
      </c>
      <c r="B165" s="482"/>
      <c r="C165" s="482" t="s">
        <v>1387</v>
      </c>
      <c r="D165" s="482"/>
      <c r="E165" s="482"/>
      <c r="F165" s="482"/>
      <c r="G165" s="482"/>
      <c r="H165" s="482"/>
      <c r="I165" s="482"/>
      <c r="J165" s="483"/>
      <c r="K165" s="484">
        <v>0.02</v>
      </c>
      <c r="L165" s="485"/>
      <c r="M165" s="485"/>
      <c r="N165" s="486">
        <v>1.6999999999999999E-3</v>
      </c>
      <c r="O165" s="487">
        <v>2.5000000000000001E-4</v>
      </c>
      <c r="P165" s="485"/>
      <c r="Q165" s="434"/>
      <c r="R165" s="483"/>
      <c r="S165" s="672"/>
      <c r="T165" s="483"/>
      <c r="U165" s="483"/>
      <c r="V165" s="41">
        <v>0</v>
      </c>
      <c r="W165" s="672">
        <v>0</v>
      </c>
      <c r="X165" s="483"/>
      <c r="Y165" s="672"/>
      <c r="Z165" s="488"/>
      <c r="AA165" s="434"/>
      <c r="AB165" s="489"/>
      <c r="AC165" s="489"/>
      <c r="AD165" s="489"/>
      <c r="AE165" s="489"/>
      <c r="AF165" s="721"/>
    </row>
    <row r="166" spans="1:32">
      <c r="A166" s="481" t="s">
        <v>474</v>
      </c>
      <c r="B166" s="482" t="s">
        <v>475</v>
      </c>
      <c r="C166" s="482" t="s">
        <v>1387</v>
      </c>
      <c r="D166" s="482" t="s">
        <v>43</v>
      </c>
      <c r="E166" s="482" t="s">
        <v>44</v>
      </c>
      <c r="F166" s="482" t="s">
        <v>55</v>
      </c>
      <c r="G166" s="482" t="s">
        <v>88</v>
      </c>
      <c r="H166" s="482" t="s">
        <v>62</v>
      </c>
      <c r="I166" s="482" t="s">
        <v>46</v>
      </c>
      <c r="J166" s="483">
        <v>328563064</v>
      </c>
      <c r="K166" s="484">
        <v>0.02</v>
      </c>
      <c r="L166" s="485"/>
      <c r="M166" s="485"/>
      <c r="N166" s="486">
        <v>1.6999999999999999E-3</v>
      </c>
      <c r="O166" s="487">
        <v>2.5000000000000001E-4</v>
      </c>
      <c r="P166" s="485"/>
      <c r="Q166" s="434">
        <v>5160217</v>
      </c>
      <c r="R166" s="483">
        <v>576333</v>
      </c>
      <c r="S166" s="672"/>
      <c r="T166" s="483">
        <v>3265881</v>
      </c>
      <c r="U166" s="483">
        <v>559352</v>
      </c>
      <c r="V166" s="41">
        <v>680560</v>
      </c>
      <c r="W166" s="672">
        <v>78091</v>
      </c>
      <c r="X166" s="483"/>
      <c r="Y166" s="672"/>
      <c r="Z166" s="488"/>
      <c r="AA166" s="434">
        <f>+R166+T166+U166+V166+X166</f>
        <v>5082126</v>
      </c>
      <c r="AB166" s="489">
        <f t="shared" si="18"/>
        <v>0.11340391796661475</v>
      </c>
      <c r="AC166" s="489">
        <f t="shared" si="19"/>
        <v>0.11006259978599507</v>
      </c>
      <c r="AD166" s="489">
        <f t="shared" si="20"/>
        <v>1.7541016113728474E-3</v>
      </c>
      <c r="AE166" s="489">
        <f t="shared" si="21"/>
        <v>1.702418991320339E-3</v>
      </c>
      <c r="AF166" s="721">
        <f>+(AA166/J166)+Z166</f>
        <v>1.5467733768151127E-2</v>
      </c>
    </row>
    <row r="167" spans="1:32">
      <c r="A167" s="103" t="s">
        <v>476</v>
      </c>
      <c r="B167" s="40" t="s">
        <v>477</v>
      </c>
      <c r="C167" s="40" t="s">
        <v>1387</v>
      </c>
      <c r="D167" s="40" t="s">
        <v>43</v>
      </c>
      <c r="E167" s="40" t="s">
        <v>44</v>
      </c>
      <c r="F167" s="40" t="s">
        <v>1348</v>
      </c>
      <c r="G167" s="40" t="s">
        <v>365</v>
      </c>
      <c r="H167" s="40" t="s">
        <v>45</v>
      </c>
      <c r="I167" s="40" t="s">
        <v>46</v>
      </c>
      <c r="J167" s="41">
        <v>73528273131</v>
      </c>
      <c r="K167" s="444">
        <v>0.02</v>
      </c>
      <c r="L167" s="51"/>
      <c r="M167" s="51"/>
      <c r="N167" s="465">
        <v>6.9999999999999999E-4</v>
      </c>
      <c r="O167" s="454">
        <v>2.5000000000000001E-4</v>
      </c>
      <c r="P167" s="51"/>
      <c r="Q167" s="434">
        <v>1026716421</v>
      </c>
      <c r="R167" s="41">
        <v>143199628</v>
      </c>
      <c r="S167" s="672"/>
      <c r="T167" s="41">
        <v>811464550</v>
      </c>
      <c r="U167" s="41">
        <v>51404995</v>
      </c>
      <c r="V167" s="41">
        <v>20155694</v>
      </c>
      <c r="W167" s="672">
        <v>491554</v>
      </c>
      <c r="X167" s="449"/>
      <c r="Y167" s="672"/>
      <c r="Z167" s="480"/>
      <c r="AA167" s="434">
        <f>+R167+T167+U167+V167+X167</f>
        <v>1026224867</v>
      </c>
      <c r="AB167" s="42">
        <f t="shared" si="18"/>
        <v>0.1395402046908302</v>
      </c>
      <c r="AC167" s="42">
        <f t="shared" si="19"/>
        <v>5.009135585485671E-2</v>
      </c>
      <c r="AD167" s="42">
        <f t="shared" si="20"/>
        <v>1.9475450993507164E-3</v>
      </c>
      <c r="AE167" s="42">
        <f t="shared" si="21"/>
        <v>6.9911875814648123E-4</v>
      </c>
      <c r="AF167" s="721">
        <f>+(AA167/J167)+Z167</f>
        <v>1.395687431923839E-2</v>
      </c>
    </row>
    <row r="168" spans="1:32">
      <c r="A168" s="490" t="s">
        <v>478</v>
      </c>
      <c r="B168" s="491"/>
      <c r="C168" s="491" t="s">
        <v>1387</v>
      </c>
      <c r="D168" s="491"/>
      <c r="E168" s="491"/>
      <c r="F168" s="491"/>
      <c r="G168" s="491"/>
      <c r="H168" s="491"/>
      <c r="I168" s="491"/>
      <c r="J168" s="492"/>
      <c r="K168" s="493">
        <v>0.02</v>
      </c>
      <c r="L168" s="494"/>
      <c r="M168" s="494"/>
      <c r="N168" s="495">
        <v>6.9999999999999999E-4</v>
      </c>
      <c r="O168" s="496">
        <v>2.5000000000000001E-4</v>
      </c>
      <c r="P168" s="494"/>
      <c r="Q168" s="434"/>
      <c r="R168" s="492"/>
      <c r="S168" s="672"/>
      <c r="T168" s="492"/>
      <c r="U168" s="492"/>
      <c r="V168" s="41">
        <v>0</v>
      </c>
      <c r="W168" s="672">
        <v>0</v>
      </c>
      <c r="X168" s="492"/>
      <c r="Y168" s="672"/>
      <c r="Z168" s="497"/>
      <c r="AA168" s="434"/>
      <c r="AB168" s="498"/>
      <c r="AC168" s="498"/>
      <c r="AD168" s="498"/>
      <c r="AE168" s="498"/>
      <c r="AF168" s="721"/>
    </row>
    <row r="169" spans="1:32">
      <c r="A169" s="490" t="s">
        <v>479</v>
      </c>
      <c r="B169" s="491"/>
      <c r="C169" s="491" t="s">
        <v>1387</v>
      </c>
      <c r="D169" s="491"/>
      <c r="E169" s="491"/>
      <c r="F169" s="491"/>
      <c r="G169" s="491"/>
      <c r="H169" s="491"/>
      <c r="I169" s="491"/>
      <c r="J169" s="492"/>
      <c r="K169" s="493">
        <v>0.02</v>
      </c>
      <c r="L169" s="494"/>
      <c r="M169" s="494"/>
      <c r="N169" s="495">
        <v>6.9999999999999999E-4</v>
      </c>
      <c r="O169" s="496">
        <v>2.5000000000000001E-4</v>
      </c>
      <c r="P169" s="494"/>
      <c r="Q169" s="434"/>
      <c r="R169" s="492"/>
      <c r="S169" s="672"/>
      <c r="T169" s="492"/>
      <c r="U169" s="492"/>
      <c r="V169" s="41">
        <v>0</v>
      </c>
      <c r="W169" s="672">
        <v>0</v>
      </c>
      <c r="X169" s="492"/>
      <c r="Y169" s="672"/>
      <c r="Z169" s="497"/>
      <c r="AA169" s="434"/>
      <c r="AB169" s="498"/>
      <c r="AC169" s="498"/>
      <c r="AD169" s="498"/>
      <c r="AE169" s="498"/>
      <c r="AF169" s="721"/>
    </row>
    <row r="170" spans="1:32">
      <c r="A170" s="490" t="s">
        <v>480</v>
      </c>
      <c r="B170" s="491" t="s">
        <v>481</v>
      </c>
      <c r="C170" s="491" t="s">
        <v>1387</v>
      </c>
      <c r="D170" s="491" t="s">
        <v>43</v>
      </c>
      <c r="E170" s="491" t="s">
        <v>44</v>
      </c>
      <c r="F170" s="491" t="s">
        <v>1348</v>
      </c>
      <c r="G170" s="491" t="s">
        <v>365</v>
      </c>
      <c r="H170" s="491" t="s">
        <v>45</v>
      </c>
      <c r="I170" s="491" t="s">
        <v>46</v>
      </c>
      <c r="J170" s="492">
        <v>14564716918</v>
      </c>
      <c r="K170" s="493">
        <v>0.02</v>
      </c>
      <c r="L170" s="494"/>
      <c r="M170" s="494"/>
      <c r="N170" s="495">
        <v>6.9999999999999999E-4</v>
      </c>
      <c r="O170" s="496">
        <v>2.5000000000000001E-4</v>
      </c>
      <c r="P170" s="494"/>
      <c r="Q170" s="434">
        <v>219606722</v>
      </c>
      <c r="R170" s="492">
        <v>30607784</v>
      </c>
      <c r="S170" s="672"/>
      <c r="T170" s="492">
        <v>173444091</v>
      </c>
      <c r="U170" s="492">
        <v>10202595</v>
      </c>
      <c r="V170" s="41">
        <v>4978032</v>
      </c>
      <c r="W170" s="672">
        <v>374220</v>
      </c>
      <c r="X170" s="492"/>
      <c r="Y170" s="672"/>
      <c r="Z170" s="497"/>
      <c r="AA170" s="434">
        <f>+R170+T170+U170+V170+X170</f>
        <v>219232502</v>
      </c>
      <c r="AB170" s="498">
        <f t="shared" si="18"/>
        <v>0.13961334984901097</v>
      </c>
      <c r="AC170" s="498">
        <f t="shared" si="19"/>
        <v>4.6537784803459478E-2</v>
      </c>
      <c r="AD170" s="498">
        <f t="shared" si="20"/>
        <v>2.1015021556768441E-3</v>
      </c>
      <c r="AE170" s="498">
        <f t="shared" si="21"/>
        <v>7.0050074144530658E-4</v>
      </c>
      <c r="AF170" s="721">
        <f>+(AA170/J170)+Z170</f>
        <v>1.5052300929313537E-2</v>
      </c>
    </row>
    <row r="171" spans="1:32">
      <c r="A171" s="103" t="s">
        <v>482</v>
      </c>
      <c r="B171" s="40" t="s">
        <v>483</v>
      </c>
      <c r="C171" s="40" t="s">
        <v>1387</v>
      </c>
      <c r="D171" s="40" t="s">
        <v>43</v>
      </c>
      <c r="E171" s="40" t="s">
        <v>44</v>
      </c>
      <c r="F171" s="40" t="s">
        <v>1348</v>
      </c>
      <c r="G171" s="40" t="s">
        <v>48</v>
      </c>
      <c r="H171" s="40" t="s">
        <v>45</v>
      </c>
      <c r="I171" s="40" t="s">
        <v>46</v>
      </c>
      <c r="J171" s="41">
        <v>5203321961</v>
      </c>
      <c r="K171" s="444">
        <v>1.2999999999999999E-2</v>
      </c>
      <c r="L171" s="51"/>
      <c r="M171" s="51"/>
      <c r="N171" s="465">
        <v>1.4E-3</v>
      </c>
      <c r="O171" s="454">
        <v>2.5000000000000001E-4</v>
      </c>
      <c r="P171" s="51"/>
      <c r="Q171" s="434">
        <v>76917433</v>
      </c>
      <c r="R171" s="41">
        <v>10140637</v>
      </c>
      <c r="S171" s="672"/>
      <c r="T171" s="41">
        <v>57458408</v>
      </c>
      <c r="U171" s="41">
        <v>7280459</v>
      </c>
      <c r="V171" s="41">
        <v>1807524</v>
      </c>
      <c r="W171" s="672">
        <v>230405</v>
      </c>
      <c r="X171" s="449"/>
      <c r="Y171" s="672"/>
      <c r="Z171" s="480"/>
      <c r="AA171" s="434">
        <f>+R171+T171+U171+V171+X171</f>
        <v>76687028</v>
      </c>
      <c r="AB171" s="42">
        <f t="shared" si="18"/>
        <v>0.13223405919447029</v>
      </c>
      <c r="AC171" s="42">
        <f t="shared" si="19"/>
        <v>9.4937295001183253E-2</v>
      </c>
      <c r="AD171" s="42">
        <f t="shared" si="20"/>
        <v>1.9488774817330585E-3</v>
      </c>
      <c r="AE171" s="42">
        <f t="shared" si="21"/>
        <v>1.3991944097575706E-3</v>
      </c>
      <c r="AF171" s="721">
        <f>+(AA171/J171)+Z171</f>
        <v>1.4738090122960968E-2</v>
      </c>
    </row>
    <row r="172" spans="1:32">
      <c r="A172" s="103" t="s">
        <v>484</v>
      </c>
      <c r="B172" s="40" t="s">
        <v>485</v>
      </c>
      <c r="C172" s="40" t="s">
        <v>1387</v>
      </c>
      <c r="D172" s="40" t="s">
        <v>43</v>
      </c>
      <c r="E172" s="40" t="s">
        <v>44</v>
      </c>
      <c r="F172" s="40" t="s">
        <v>1348</v>
      </c>
      <c r="G172" s="40" t="s">
        <v>641</v>
      </c>
      <c r="H172" s="40" t="s">
        <v>45</v>
      </c>
      <c r="I172" s="40" t="s">
        <v>46</v>
      </c>
      <c r="J172" s="41">
        <v>20283027930</v>
      </c>
      <c r="K172" s="444">
        <v>0.02</v>
      </c>
      <c r="L172" s="51"/>
      <c r="M172" s="51"/>
      <c r="N172" s="465">
        <v>6.9999999999999999E-4</v>
      </c>
      <c r="O172" s="454">
        <v>2.5000000000000001E-4</v>
      </c>
      <c r="P172" s="51"/>
      <c r="Q172" s="434">
        <v>323889698</v>
      </c>
      <c r="R172" s="41">
        <v>45564806</v>
      </c>
      <c r="S172" s="672"/>
      <c r="T172" s="41">
        <v>258200574</v>
      </c>
      <c r="U172" s="41">
        <v>14175718</v>
      </c>
      <c r="V172" s="41">
        <v>5577055</v>
      </c>
      <c r="W172" s="672">
        <v>371545</v>
      </c>
      <c r="X172" s="449"/>
      <c r="Y172" s="672"/>
      <c r="Z172" s="480"/>
      <c r="AA172" s="434">
        <f>+R172+T172+U172+V172+X172</f>
        <v>323518153</v>
      </c>
      <c r="AB172" s="42">
        <f t="shared" si="18"/>
        <v>0.14084157435208899</v>
      </c>
      <c r="AC172" s="42">
        <f t="shared" si="19"/>
        <v>4.3817380473237307E-2</v>
      </c>
      <c r="AD172" s="42">
        <f t="shared" si="20"/>
        <v>2.246449896793097E-3</v>
      </c>
      <c r="AE172" s="42">
        <f t="shared" si="21"/>
        <v>6.9889555193251667E-4</v>
      </c>
      <c r="AF172" s="721">
        <f>+(AA172/J172)+Z172</f>
        <v>1.5950190184449448E-2</v>
      </c>
    </row>
    <row r="173" spans="1:32">
      <c r="A173" s="103" t="s">
        <v>486</v>
      </c>
      <c r="B173" s="40" t="s">
        <v>487</v>
      </c>
      <c r="C173" s="40" t="s">
        <v>1387</v>
      </c>
      <c r="D173" s="40" t="s">
        <v>43</v>
      </c>
      <c r="E173" s="40" t="s">
        <v>44</v>
      </c>
      <c r="F173" s="40" t="s">
        <v>1348</v>
      </c>
      <c r="G173" s="40" t="s">
        <v>365</v>
      </c>
      <c r="H173" s="40" t="s">
        <v>45</v>
      </c>
      <c r="I173" s="40" t="s">
        <v>239</v>
      </c>
      <c r="J173" s="41">
        <v>52934633.520000003</v>
      </c>
      <c r="K173" s="444">
        <v>0.01</v>
      </c>
      <c r="L173" s="51"/>
      <c r="M173" s="51"/>
      <c r="N173" s="465">
        <v>1.6999999999999999E-3</v>
      </c>
      <c r="O173" s="454">
        <v>2.5000000000000001E-4</v>
      </c>
      <c r="P173" s="51"/>
      <c r="Q173" s="434">
        <v>486045.39999999997</v>
      </c>
      <c r="R173" s="41">
        <v>56759.17</v>
      </c>
      <c r="S173" s="672"/>
      <c r="T173" s="41">
        <v>321635.38</v>
      </c>
      <c r="U173" s="41">
        <v>90391.75</v>
      </c>
      <c r="V173" s="41">
        <v>15299.3</v>
      </c>
      <c r="W173" s="672">
        <v>1959.8</v>
      </c>
      <c r="X173" s="449"/>
      <c r="Y173" s="672"/>
      <c r="Z173" s="480"/>
      <c r="AA173" s="434">
        <f>+R173+T173+U173+V173+X173</f>
        <v>484085.6</v>
      </c>
      <c r="AB173" s="42">
        <f t="shared" si="18"/>
        <v>0.11725027557109735</v>
      </c>
      <c r="AC173" s="42">
        <f t="shared" si="19"/>
        <v>0.18672678964216247</v>
      </c>
      <c r="AD173" s="42">
        <f t="shared" si="20"/>
        <v>1.0722501739537876E-3</v>
      </c>
      <c r="AE173" s="42">
        <f t="shared" si="21"/>
        <v>1.7076107642428049E-3</v>
      </c>
      <c r="AF173" s="721">
        <f>+(AA173/J173)+Z173</f>
        <v>9.1449693293352181E-3</v>
      </c>
    </row>
    <row r="174" spans="1:32">
      <c r="A174" s="103" t="s">
        <v>488</v>
      </c>
      <c r="B174" s="40" t="s">
        <v>489</v>
      </c>
      <c r="C174" s="40" t="s">
        <v>1387</v>
      </c>
      <c r="D174" s="40" t="s">
        <v>43</v>
      </c>
      <c r="E174" s="40" t="s">
        <v>44</v>
      </c>
      <c r="F174" s="40" t="s">
        <v>1348</v>
      </c>
      <c r="G174" s="40" t="s">
        <v>365</v>
      </c>
      <c r="H174" s="40" t="s">
        <v>45</v>
      </c>
      <c r="I174" s="40" t="s">
        <v>69</v>
      </c>
      <c r="J174" s="41">
        <v>74453966.969999999</v>
      </c>
      <c r="K174" s="444">
        <v>0.01</v>
      </c>
      <c r="L174" s="51"/>
      <c r="M174" s="51"/>
      <c r="N174" s="465">
        <v>1.6999999999999999E-3</v>
      </c>
      <c r="O174" s="454">
        <v>2.5000000000000001E-4</v>
      </c>
      <c r="P174" s="51"/>
      <c r="Q174" s="434">
        <v>736967.78</v>
      </c>
      <c r="R174" s="41">
        <v>88375.93</v>
      </c>
      <c r="S174" s="672"/>
      <c r="T174" s="41">
        <v>500796.84</v>
      </c>
      <c r="U174" s="41">
        <v>126673.16</v>
      </c>
      <c r="V174" s="41">
        <v>20037.870000000003</v>
      </c>
      <c r="W174" s="672">
        <v>1083.98</v>
      </c>
      <c r="X174" s="449"/>
      <c r="Y174" s="672"/>
      <c r="Z174" s="480"/>
      <c r="AA174" s="434">
        <f>+R174+T174+U174+V174+X174</f>
        <v>735883.8</v>
      </c>
      <c r="AB174" s="42">
        <f t="shared" si="18"/>
        <v>0.12009495249114056</v>
      </c>
      <c r="AC174" s="42">
        <f t="shared" si="19"/>
        <v>0.17213744887440108</v>
      </c>
      <c r="AD174" s="42">
        <f t="shared" si="20"/>
        <v>1.18698752526658E-3</v>
      </c>
      <c r="AE174" s="42">
        <f t="shared" si="21"/>
        <v>1.7013621322694715E-3</v>
      </c>
      <c r="AF174" s="721">
        <f>+(AA174/J174)+Z174</f>
        <v>9.8837419945200806E-3</v>
      </c>
    </row>
    <row r="175" spans="1:32">
      <c r="A175" s="499" t="s">
        <v>490</v>
      </c>
      <c r="B175" s="500"/>
      <c r="C175" s="500" t="s">
        <v>1387</v>
      </c>
      <c r="D175" s="500"/>
      <c r="E175" s="500"/>
      <c r="F175" s="500"/>
      <c r="G175" s="500"/>
      <c r="H175" s="500"/>
      <c r="I175" s="500"/>
      <c r="J175" s="501"/>
      <c r="K175" s="502">
        <v>0.01</v>
      </c>
      <c r="L175" s="503"/>
      <c r="M175" s="503"/>
      <c r="N175" s="504">
        <v>1.75E-3</v>
      </c>
      <c r="O175" s="505">
        <v>2.5000000000000001E-4</v>
      </c>
      <c r="P175" s="503"/>
      <c r="Q175" s="434"/>
      <c r="R175" s="501"/>
      <c r="S175" s="672"/>
      <c r="T175" s="501"/>
      <c r="U175" s="501"/>
      <c r="V175" s="41">
        <v>0</v>
      </c>
      <c r="W175" s="672">
        <v>0</v>
      </c>
      <c r="X175" s="501"/>
      <c r="Y175" s="672"/>
      <c r="Z175" s="506"/>
      <c r="AA175" s="434"/>
      <c r="AB175" s="507"/>
      <c r="AC175" s="507"/>
      <c r="AD175" s="507"/>
      <c r="AE175" s="507"/>
      <c r="AF175" s="721"/>
    </row>
    <row r="176" spans="1:32">
      <c r="A176" s="499" t="s">
        <v>491</v>
      </c>
      <c r="B176" s="500" t="s">
        <v>492</v>
      </c>
      <c r="C176" s="500" t="s">
        <v>1387</v>
      </c>
      <c r="D176" s="500" t="s">
        <v>43</v>
      </c>
      <c r="E176" s="500" t="s">
        <v>44</v>
      </c>
      <c r="F176" s="500" t="s">
        <v>55</v>
      </c>
      <c r="G176" s="500" t="s">
        <v>830</v>
      </c>
      <c r="H176" s="500" t="s">
        <v>62</v>
      </c>
      <c r="I176" s="500" t="s">
        <v>46</v>
      </c>
      <c r="J176" s="501">
        <v>1427831580</v>
      </c>
      <c r="K176" s="502">
        <v>0.02</v>
      </c>
      <c r="L176" s="503"/>
      <c r="M176" s="503"/>
      <c r="N176" s="504">
        <v>1.75E-3</v>
      </c>
      <c r="O176" s="505">
        <v>2.5000000000000001E-4</v>
      </c>
      <c r="P176" s="503"/>
      <c r="Q176" s="434">
        <v>10687379</v>
      </c>
      <c r="R176" s="501">
        <v>1072329</v>
      </c>
      <c r="S176" s="672"/>
      <c r="T176" s="501">
        <v>6076538</v>
      </c>
      <c r="U176" s="501">
        <v>2502104</v>
      </c>
      <c r="V176" s="41">
        <v>1022195</v>
      </c>
      <c r="W176" s="672">
        <v>14213</v>
      </c>
      <c r="X176" s="501"/>
      <c r="Y176" s="672"/>
      <c r="Z176" s="507">
        <v>5.8999999999999999E-3</v>
      </c>
      <c r="AA176" s="434">
        <f>+R176+T176+U176+V176+X176</f>
        <v>10673166</v>
      </c>
      <c r="AB176" s="507">
        <f t="shared" si="18"/>
        <v>0.10046962635079414</v>
      </c>
      <c r="AC176" s="507">
        <f t="shared" si="19"/>
        <v>0.23442940923058819</v>
      </c>
      <c r="AD176" s="507">
        <f t="shared" si="20"/>
        <v>7.5101924836261152E-4</v>
      </c>
      <c r="AE176" s="507">
        <f t="shared" si="21"/>
        <v>1.7523803472675678E-3</v>
      </c>
      <c r="AF176" s="721">
        <f>+(AA176/J176)+Z176</f>
        <v>1.3375087502967262E-2</v>
      </c>
    </row>
    <row r="177" spans="1:32">
      <c r="A177" s="103" t="s">
        <v>493</v>
      </c>
      <c r="B177" s="40" t="s">
        <v>494</v>
      </c>
      <c r="C177" s="40" t="s">
        <v>1387</v>
      </c>
      <c r="D177" s="40" t="s">
        <v>43</v>
      </c>
      <c r="E177" s="40" t="s">
        <v>44</v>
      </c>
      <c r="F177" s="40" t="s">
        <v>55</v>
      </c>
      <c r="G177" s="40" t="s">
        <v>830</v>
      </c>
      <c r="H177" s="40" t="s">
        <v>62</v>
      </c>
      <c r="I177" s="40" t="s">
        <v>46</v>
      </c>
      <c r="J177" s="41">
        <v>53672052727</v>
      </c>
      <c r="K177" s="444">
        <v>0.01</v>
      </c>
      <c r="L177" s="51"/>
      <c r="M177" s="51"/>
      <c r="N177" s="465">
        <v>1.75E-3</v>
      </c>
      <c r="O177" s="454">
        <v>2.5000000000000001E-4</v>
      </c>
      <c r="P177" s="51"/>
      <c r="Q177" s="434">
        <v>269525948</v>
      </c>
      <c r="R177" s="41">
        <v>24143193</v>
      </c>
      <c r="S177" s="672"/>
      <c r="T177" s="41">
        <v>136811435</v>
      </c>
      <c r="U177" s="41">
        <v>93890202</v>
      </c>
      <c r="V177" s="41">
        <v>14157168</v>
      </c>
      <c r="W177" s="672">
        <v>523950</v>
      </c>
      <c r="X177" s="449"/>
      <c r="Y177" s="672"/>
      <c r="Z177" s="734">
        <v>1.2800000000000001E-2</v>
      </c>
      <c r="AA177" s="434">
        <f>+R177+T177+U177+V177+X177</f>
        <v>269001998</v>
      </c>
      <c r="AB177" s="42">
        <f t="shared" si="18"/>
        <v>8.9750980213909037E-2</v>
      </c>
      <c r="AC177" s="42">
        <f t="shared" si="19"/>
        <v>0.34903161574286895</v>
      </c>
      <c r="AD177" s="42">
        <f t="shared" si="20"/>
        <v>4.4982801613351829E-4</v>
      </c>
      <c r="AE177" s="42">
        <f t="shared" si="21"/>
        <v>1.7493313042742644E-3</v>
      </c>
      <c r="AF177" s="721">
        <f>+(AA177/J177)+Z177</f>
        <v>1.7811956583219653E-2</v>
      </c>
    </row>
    <row r="178" spans="1:32">
      <c r="A178" s="508" t="s">
        <v>495</v>
      </c>
      <c r="B178" s="262" t="s">
        <v>496</v>
      </c>
      <c r="C178" s="262" t="s">
        <v>1387</v>
      </c>
      <c r="D178" s="262"/>
      <c r="E178" s="262"/>
      <c r="F178" s="262"/>
      <c r="G178" s="262"/>
      <c r="H178" s="262"/>
      <c r="I178" s="262"/>
      <c r="J178" s="445"/>
      <c r="K178" s="439">
        <v>0.02</v>
      </c>
      <c r="L178" s="509"/>
      <c r="M178" s="509"/>
      <c r="N178" s="510">
        <v>1.75E-3</v>
      </c>
      <c r="O178" s="511">
        <v>2.5000000000000001E-4</v>
      </c>
      <c r="P178" s="509"/>
      <c r="Q178" s="434"/>
      <c r="R178" s="445"/>
      <c r="S178" s="672"/>
      <c r="T178" s="445"/>
      <c r="U178" s="445"/>
      <c r="V178" s="41">
        <v>0</v>
      </c>
      <c r="W178" s="672"/>
      <c r="X178" s="445"/>
      <c r="Y178" s="672"/>
      <c r="Z178" s="512"/>
      <c r="AA178" s="434"/>
      <c r="AB178" s="438"/>
      <c r="AC178" s="438"/>
      <c r="AD178" s="438"/>
      <c r="AE178" s="438"/>
      <c r="AF178" s="721"/>
    </row>
    <row r="179" spans="1:32">
      <c r="A179" s="508" t="s">
        <v>497</v>
      </c>
      <c r="B179" s="262" t="s">
        <v>498</v>
      </c>
      <c r="C179" s="262" t="s">
        <v>1387</v>
      </c>
      <c r="D179" s="262"/>
      <c r="E179" s="262"/>
      <c r="F179" s="262"/>
      <c r="G179" s="262"/>
      <c r="H179" s="262"/>
      <c r="I179" s="262"/>
      <c r="J179" s="445"/>
      <c r="K179" s="439">
        <v>1.4999999999999999E-2</v>
      </c>
      <c r="L179" s="509"/>
      <c r="M179" s="509"/>
      <c r="N179" s="510">
        <v>1.75E-3</v>
      </c>
      <c r="O179" s="511">
        <v>2.5000000000000001E-4</v>
      </c>
      <c r="P179" s="509"/>
      <c r="Q179" s="434"/>
      <c r="R179" s="445"/>
      <c r="S179" s="672"/>
      <c r="T179" s="445"/>
      <c r="U179" s="445"/>
      <c r="V179" s="41">
        <v>0</v>
      </c>
      <c r="W179" s="672"/>
      <c r="X179" s="445"/>
      <c r="Y179" s="672"/>
      <c r="Z179" s="512"/>
      <c r="AA179" s="434"/>
      <c r="AB179" s="438"/>
      <c r="AC179" s="438"/>
      <c r="AD179" s="438"/>
      <c r="AE179" s="438"/>
      <c r="AF179" s="721"/>
    </row>
    <row r="180" spans="1:32">
      <c r="A180" s="508" t="s">
        <v>499</v>
      </c>
      <c r="B180" s="262" t="s">
        <v>496</v>
      </c>
      <c r="C180" s="262" t="s">
        <v>1387</v>
      </c>
      <c r="D180" s="262" t="s">
        <v>43</v>
      </c>
      <c r="E180" s="262" t="s">
        <v>44</v>
      </c>
      <c r="F180" s="262" t="s">
        <v>1349</v>
      </c>
      <c r="G180" s="262" t="s">
        <v>58</v>
      </c>
      <c r="H180" s="262" t="s">
        <v>45</v>
      </c>
      <c r="I180" s="262" t="s">
        <v>46</v>
      </c>
      <c r="J180" s="445">
        <v>2743457099</v>
      </c>
      <c r="K180" s="439">
        <v>0.01</v>
      </c>
      <c r="L180" s="509"/>
      <c r="M180" s="509"/>
      <c r="N180" s="510">
        <v>1.75E-3</v>
      </c>
      <c r="O180" s="511">
        <v>2.5000000000000001E-4</v>
      </c>
      <c r="P180" s="509"/>
      <c r="Q180" s="434">
        <v>42358351</v>
      </c>
      <c r="R180" s="445">
        <v>5723688</v>
      </c>
      <c r="S180" s="672"/>
      <c r="T180" s="445">
        <v>17633974</v>
      </c>
      <c r="U180" s="445">
        <v>4795746</v>
      </c>
      <c r="V180" s="41">
        <v>1553828</v>
      </c>
      <c r="W180" s="672">
        <v>12651115</v>
      </c>
      <c r="X180" s="445"/>
      <c r="Y180" s="672"/>
      <c r="Z180" s="512"/>
      <c r="AA180" s="434">
        <f>+R180+T180+U180+V180+X180</f>
        <v>29707236</v>
      </c>
      <c r="AB180" s="438">
        <f t="shared" si="18"/>
        <v>0.19266982630090526</v>
      </c>
      <c r="AC180" s="438">
        <f t="shared" si="19"/>
        <v>0.16143359819809558</v>
      </c>
      <c r="AD180" s="438">
        <f t="shared" si="20"/>
        <v>2.086304904161361E-3</v>
      </c>
      <c r="AE180" s="438">
        <f t="shared" si="21"/>
        <v>1.7480667008600451E-3</v>
      </c>
      <c r="AF180" s="721">
        <f>+(AA180/J180)+Z180</f>
        <v>1.0828394586825649E-2</v>
      </c>
    </row>
    <row r="181" spans="1:32">
      <c r="A181" s="105" t="s">
        <v>500</v>
      </c>
      <c r="B181" s="450" t="s">
        <v>501</v>
      </c>
      <c r="C181" s="450" t="s">
        <v>1387</v>
      </c>
      <c r="D181" s="450" t="s">
        <v>43</v>
      </c>
      <c r="E181" s="450" t="s">
        <v>44</v>
      </c>
      <c r="F181" s="450" t="s">
        <v>55</v>
      </c>
      <c r="G181" s="450" t="s">
        <v>97</v>
      </c>
      <c r="H181" s="450" t="s">
        <v>62</v>
      </c>
      <c r="I181" s="450" t="s">
        <v>46</v>
      </c>
      <c r="J181" s="41">
        <v>483346205</v>
      </c>
      <c r="K181" s="444">
        <v>0.02</v>
      </c>
      <c r="L181" s="51"/>
      <c r="M181" s="51"/>
      <c r="N181" s="465">
        <v>1.75E-3</v>
      </c>
      <c r="O181" s="454">
        <v>2.5000000000000001E-4</v>
      </c>
      <c r="P181" s="51"/>
      <c r="Q181" s="434">
        <v>6450903</v>
      </c>
      <c r="R181" s="41">
        <v>724104</v>
      </c>
      <c r="S181" s="672"/>
      <c r="T181" s="41">
        <v>4103267</v>
      </c>
      <c r="U181" s="41">
        <v>844791</v>
      </c>
      <c r="V181" s="41">
        <v>577755</v>
      </c>
      <c r="W181" s="672">
        <v>12752</v>
      </c>
      <c r="X181" s="449">
        <v>94117</v>
      </c>
      <c r="Y181" s="672"/>
      <c r="Z181" s="734">
        <v>8.3000000000000001E-3</v>
      </c>
      <c r="AA181" s="434">
        <f>+R181+T181+U181+V181+X181</f>
        <v>6344034</v>
      </c>
      <c r="AB181" s="42">
        <f t="shared" si="18"/>
        <v>0.11413936306142117</v>
      </c>
      <c r="AC181" s="42">
        <f t="shared" si="19"/>
        <v>0.1331630631235583</v>
      </c>
      <c r="AD181" s="42">
        <f t="shared" si="20"/>
        <v>1.4981063107757306E-3</v>
      </c>
      <c r="AE181" s="42">
        <f t="shared" si="21"/>
        <v>1.7477969026362791E-3</v>
      </c>
      <c r="AF181" s="721">
        <f>+(AA181/J181)+Z181</f>
        <v>2.142523804753986E-2</v>
      </c>
    </row>
    <row r="182" spans="1:32">
      <c r="A182" s="103" t="s">
        <v>502</v>
      </c>
      <c r="B182" s="40" t="s">
        <v>503</v>
      </c>
      <c r="C182" s="40" t="s">
        <v>1387</v>
      </c>
      <c r="D182" s="40" t="s">
        <v>43</v>
      </c>
      <c r="E182" s="40" t="s">
        <v>44</v>
      </c>
      <c r="F182" s="40" t="s">
        <v>55</v>
      </c>
      <c r="G182" s="450" t="s">
        <v>48</v>
      </c>
      <c r="H182" s="40" t="s">
        <v>45</v>
      </c>
      <c r="I182" s="40" t="s">
        <v>46</v>
      </c>
      <c r="J182" s="41">
        <v>2969747482</v>
      </c>
      <c r="K182" s="444">
        <v>0.02</v>
      </c>
      <c r="L182" s="51"/>
      <c r="M182" s="51"/>
      <c r="N182" s="465">
        <v>1.75E-3</v>
      </c>
      <c r="O182" s="454">
        <v>2.5000000000000001E-4</v>
      </c>
      <c r="P182" s="51"/>
      <c r="Q182" s="434">
        <v>21346294</v>
      </c>
      <c r="R182" s="41">
        <v>2224459</v>
      </c>
      <c r="S182" s="672"/>
      <c r="T182" s="41">
        <v>12605273</v>
      </c>
      <c r="U182" s="41">
        <v>5190405</v>
      </c>
      <c r="V182" s="41">
        <v>1199439</v>
      </c>
      <c r="W182" s="672">
        <v>126718</v>
      </c>
      <c r="X182" s="449"/>
      <c r="Y182" s="672"/>
      <c r="Z182" s="734">
        <v>1.3299999999999999E-2</v>
      </c>
      <c r="AA182" s="434">
        <f>+R182+T182+U182+V182+X182</f>
        <v>21219576</v>
      </c>
      <c r="AB182" s="42">
        <f t="shared" si="18"/>
        <v>0.1048305112222789</v>
      </c>
      <c r="AC182" s="42">
        <f t="shared" si="19"/>
        <v>0.24460455760284749</v>
      </c>
      <c r="AD182" s="42">
        <f t="shared" si="20"/>
        <v>7.4903977980711022E-4</v>
      </c>
      <c r="AE182" s="42">
        <f t="shared" si="21"/>
        <v>1.7477597107025682E-3</v>
      </c>
      <c r="AF182" s="721">
        <f>+(AA182/J182)+Z182</f>
        <v>2.0445245893334171E-2</v>
      </c>
    </row>
    <row r="183" spans="1:32">
      <c r="A183" s="513" t="s">
        <v>504</v>
      </c>
      <c r="B183" s="514"/>
      <c r="C183" s="514" t="s">
        <v>1387</v>
      </c>
      <c r="D183" s="514"/>
      <c r="E183" s="514"/>
      <c r="F183" s="514"/>
      <c r="G183" s="514"/>
      <c r="H183" s="514"/>
      <c r="I183" s="514"/>
      <c r="J183" s="515"/>
      <c r="K183" s="516">
        <v>0.02</v>
      </c>
      <c r="L183" s="517"/>
      <c r="M183" s="517"/>
      <c r="N183" s="518">
        <v>6.9999999999999999E-4</v>
      </c>
      <c r="O183" s="519">
        <v>2.5000000000000001E-4</v>
      </c>
      <c r="P183" s="517"/>
      <c r="Q183" s="434"/>
      <c r="R183" s="515"/>
      <c r="S183" s="672"/>
      <c r="T183" s="515"/>
      <c r="U183" s="515"/>
      <c r="V183" s="41">
        <v>0</v>
      </c>
      <c r="W183" s="672">
        <v>0</v>
      </c>
      <c r="X183" s="515"/>
      <c r="Y183" s="672"/>
      <c r="Z183" s="520"/>
      <c r="AA183" s="434"/>
      <c r="AB183" s="521"/>
      <c r="AC183" s="521"/>
      <c r="AD183" s="521"/>
      <c r="AE183" s="521"/>
      <c r="AF183" s="721"/>
    </row>
    <row r="184" spans="1:32">
      <c r="A184" s="513" t="s">
        <v>505</v>
      </c>
      <c r="B184" s="514" t="s">
        <v>506</v>
      </c>
      <c r="C184" s="514" t="s">
        <v>1387</v>
      </c>
      <c r="D184" s="514" t="s">
        <v>43</v>
      </c>
      <c r="E184" s="514" t="s">
        <v>44</v>
      </c>
      <c r="F184" s="514" t="s">
        <v>1348</v>
      </c>
      <c r="G184" s="514" t="s">
        <v>365</v>
      </c>
      <c r="H184" s="514" t="s">
        <v>45</v>
      </c>
      <c r="I184" s="514" t="s">
        <v>46</v>
      </c>
      <c r="J184" s="515">
        <v>5384894042</v>
      </c>
      <c r="K184" s="516">
        <v>0.02</v>
      </c>
      <c r="L184" s="517"/>
      <c r="M184" s="517"/>
      <c r="N184" s="518">
        <v>6.9999999999999999E-4</v>
      </c>
      <c r="O184" s="519">
        <v>2.5000000000000001E-4</v>
      </c>
      <c r="P184" s="517"/>
      <c r="Q184" s="434">
        <v>75876360</v>
      </c>
      <c r="R184" s="515">
        <v>10499162</v>
      </c>
      <c r="S184" s="672"/>
      <c r="T184" s="515">
        <v>59495250</v>
      </c>
      <c r="U184" s="515">
        <v>3768932</v>
      </c>
      <c r="V184" s="41">
        <v>1980072</v>
      </c>
      <c r="W184" s="672">
        <v>132944</v>
      </c>
      <c r="X184" s="515"/>
      <c r="Y184" s="672"/>
      <c r="Z184" s="520"/>
      <c r="AA184" s="434">
        <f>+R184+T184+U184+V184+X184</f>
        <v>75743416</v>
      </c>
      <c r="AB184" s="521">
        <f t="shared" si="18"/>
        <v>0.13861484673466537</v>
      </c>
      <c r="AC184" s="521">
        <f t="shared" si="19"/>
        <v>4.9759202832890453E-2</v>
      </c>
      <c r="AD184" s="521">
        <f t="shared" si="20"/>
        <v>1.9497434709226911E-3</v>
      </c>
      <c r="AE184" s="521">
        <f t="shared" si="21"/>
        <v>6.9990829357158225E-4</v>
      </c>
      <c r="AF184" s="721">
        <f>+(AA184/J184)+Z184</f>
        <v>1.4065906480096346E-2</v>
      </c>
    </row>
    <row r="185" spans="1:32">
      <c r="A185" s="522" t="s">
        <v>507</v>
      </c>
      <c r="B185" s="523"/>
      <c r="C185" s="523" t="s">
        <v>1387</v>
      </c>
      <c r="D185" s="523"/>
      <c r="E185" s="523"/>
      <c r="F185" s="523"/>
      <c r="G185" s="523"/>
      <c r="H185" s="523"/>
      <c r="I185" s="523"/>
      <c r="J185" s="524"/>
      <c r="K185" s="525">
        <v>0.02</v>
      </c>
      <c r="L185" s="526"/>
      <c r="M185" s="526"/>
      <c r="N185" s="527">
        <v>6.9999999999999999E-4</v>
      </c>
      <c r="O185" s="528">
        <v>2.5000000000000001E-4</v>
      </c>
      <c r="P185" s="526"/>
      <c r="Q185" s="434"/>
      <c r="R185" s="524"/>
      <c r="S185" s="672"/>
      <c r="T185" s="524"/>
      <c r="U185" s="524"/>
      <c r="V185" s="41">
        <v>0</v>
      </c>
      <c r="W185" s="672">
        <v>0</v>
      </c>
      <c r="X185" s="524"/>
      <c r="Y185" s="672"/>
      <c r="Z185" s="529"/>
      <c r="AA185" s="434"/>
      <c r="AB185" s="530"/>
      <c r="AC185" s="530"/>
      <c r="AD185" s="530"/>
      <c r="AE185" s="530"/>
      <c r="AF185" s="721"/>
    </row>
    <row r="186" spans="1:32">
      <c r="A186" s="522" t="s">
        <v>508</v>
      </c>
      <c r="B186" s="523"/>
      <c r="C186" s="523" t="s">
        <v>1387</v>
      </c>
      <c r="D186" s="523"/>
      <c r="E186" s="523"/>
      <c r="F186" s="523"/>
      <c r="G186" s="523"/>
      <c r="H186" s="523"/>
      <c r="I186" s="523"/>
      <c r="J186" s="524"/>
      <c r="K186" s="525">
        <v>0.02</v>
      </c>
      <c r="L186" s="526"/>
      <c r="M186" s="526"/>
      <c r="N186" s="527">
        <v>6.9999999999999999E-4</v>
      </c>
      <c r="O186" s="528">
        <v>2.5000000000000001E-4</v>
      </c>
      <c r="P186" s="526"/>
      <c r="Q186" s="434"/>
      <c r="R186" s="524"/>
      <c r="S186" s="672"/>
      <c r="T186" s="524"/>
      <c r="U186" s="524"/>
      <c r="V186" s="41">
        <v>0</v>
      </c>
      <c r="W186" s="672">
        <v>0</v>
      </c>
      <c r="X186" s="524"/>
      <c r="Y186" s="672"/>
      <c r="Z186" s="529"/>
      <c r="AA186" s="434"/>
      <c r="AB186" s="530"/>
      <c r="AC186" s="530"/>
      <c r="AD186" s="530"/>
      <c r="AE186" s="530"/>
      <c r="AF186" s="721"/>
    </row>
    <row r="187" spans="1:32">
      <c r="A187" s="522" t="s">
        <v>509</v>
      </c>
      <c r="B187" s="523" t="s">
        <v>510</v>
      </c>
      <c r="C187" s="523" t="s">
        <v>1387</v>
      </c>
      <c r="D187" s="523" t="s">
        <v>43</v>
      </c>
      <c r="E187" s="523" t="s">
        <v>44</v>
      </c>
      <c r="F187" s="523" t="s">
        <v>1348</v>
      </c>
      <c r="G187" s="523" t="s">
        <v>365</v>
      </c>
      <c r="H187" s="523" t="s">
        <v>45</v>
      </c>
      <c r="I187" s="523" t="s">
        <v>46</v>
      </c>
      <c r="J187" s="524">
        <v>355472853</v>
      </c>
      <c r="K187" s="525">
        <v>0.02</v>
      </c>
      <c r="L187" s="526"/>
      <c r="M187" s="526"/>
      <c r="N187" s="527">
        <v>6.9999999999999999E-4</v>
      </c>
      <c r="O187" s="528">
        <v>2.5000000000000001E-4</v>
      </c>
      <c r="P187" s="526"/>
      <c r="Q187" s="434">
        <v>6469239</v>
      </c>
      <c r="R187" s="524">
        <v>798700</v>
      </c>
      <c r="S187" s="672"/>
      <c r="T187" s="524">
        <v>4525970</v>
      </c>
      <c r="U187" s="524">
        <v>248484</v>
      </c>
      <c r="V187" s="41">
        <v>788767</v>
      </c>
      <c r="W187" s="672">
        <v>107318</v>
      </c>
      <c r="X187" s="524"/>
      <c r="Y187" s="672"/>
      <c r="Z187" s="529"/>
      <c r="AA187" s="434">
        <f>+R187+T187+U187+V187+X187</f>
        <v>6361921</v>
      </c>
      <c r="AB187" s="530">
        <f t="shared" si="18"/>
        <v>0.12554384123914775</v>
      </c>
      <c r="AC187" s="530">
        <f t="shared" si="19"/>
        <v>3.9058014080967055E-2</v>
      </c>
      <c r="AD187" s="530">
        <f t="shared" si="20"/>
        <v>2.2468663732248492E-3</v>
      </c>
      <c r="AE187" s="530">
        <f t="shared" si="21"/>
        <v>6.9902384360135653E-4</v>
      </c>
      <c r="AF187" s="721">
        <f>+(AA187/J187)+Z187</f>
        <v>1.7897065686757238E-2</v>
      </c>
    </row>
    <row r="188" spans="1:32">
      <c r="A188" s="103" t="s">
        <v>511</v>
      </c>
      <c r="B188" s="40" t="s">
        <v>512</v>
      </c>
      <c r="C188" s="40" t="s">
        <v>1387</v>
      </c>
      <c r="D188" s="40" t="s">
        <v>43</v>
      </c>
      <c r="E188" s="40" t="s">
        <v>44</v>
      </c>
      <c r="F188" s="40" t="s">
        <v>132</v>
      </c>
      <c r="G188" s="450" t="s">
        <v>116</v>
      </c>
      <c r="H188" s="40" t="s">
        <v>45</v>
      </c>
      <c r="I188" s="40" t="s">
        <v>46</v>
      </c>
      <c r="J188" s="41">
        <v>201963968004.00797</v>
      </c>
      <c r="K188" s="444">
        <v>0.02</v>
      </c>
      <c r="L188" s="51"/>
      <c r="M188" s="51"/>
      <c r="N188" s="465">
        <v>6.9999999999999999E-4</v>
      </c>
      <c r="O188" s="454">
        <v>2.5000000000000001E-4</v>
      </c>
      <c r="P188" s="51"/>
      <c r="Q188" s="434">
        <v>3774741609</v>
      </c>
      <c r="R188" s="41">
        <v>565522155</v>
      </c>
      <c r="S188" s="672"/>
      <c r="T188" s="41">
        <v>2060495477</v>
      </c>
      <c r="U188" s="41">
        <v>302958305</v>
      </c>
      <c r="V188" s="41">
        <v>767554294</v>
      </c>
      <c r="W188" s="672">
        <v>2627757</v>
      </c>
      <c r="X188" s="449"/>
      <c r="Y188" s="672">
        <v>75583621</v>
      </c>
      <c r="Z188" s="480"/>
      <c r="AA188" s="434">
        <f>+R188+T188+U188+V188+X188</f>
        <v>3696530231</v>
      </c>
      <c r="AB188" s="42">
        <f t="shared" si="18"/>
        <v>0.1529872933967627</v>
      </c>
      <c r="AC188" s="42">
        <f t="shared" si="19"/>
        <v>8.1957480682646147E-2</v>
      </c>
      <c r="AD188" s="42">
        <f t="shared" si="20"/>
        <v>2.8001141024758302E-3</v>
      </c>
      <c r="AE188" s="42">
        <f t="shared" si="21"/>
        <v>1.500061164345849E-3</v>
      </c>
      <c r="AF188" s="721">
        <f>+(AA188/J188)+Z188</f>
        <v>1.8302919414450416E-2</v>
      </c>
    </row>
    <row r="189" spans="1:32">
      <c r="A189" s="531" t="s">
        <v>513</v>
      </c>
      <c r="B189" s="532"/>
      <c r="C189" s="532" t="s">
        <v>1387</v>
      </c>
      <c r="D189" s="532"/>
      <c r="E189" s="532"/>
      <c r="F189" s="532"/>
      <c r="G189" s="532"/>
      <c r="H189" s="532"/>
      <c r="I189" s="532"/>
      <c r="J189" s="533"/>
      <c r="K189" s="534">
        <v>2.5000000000000001E-2</v>
      </c>
      <c r="L189" s="535"/>
      <c r="M189" s="535"/>
      <c r="N189" s="536">
        <v>6.9999999999999999E-4</v>
      </c>
      <c r="O189" s="537">
        <v>2.5000000000000001E-4</v>
      </c>
      <c r="P189" s="535"/>
      <c r="Q189" s="434"/>
      <c r="R189" s="533"/>
      <c r="S189" s="672"/>
      <c r="T189" s="533"/>
      <c r="U189" s="533"/>
      <c r="V189" s="41">
        <v>0</v>
      </c>
      <c r="W189" s="672">
        <v>0</v>
      </c>
      <c r="X189" s="533"/>
      <c r="Y189" s="672"/>
      <c r="Z189" s="538"/>
      <c r="AA189" s="434"/>
      <c r="AB189" s="539"/>
      <c r="AC189" s="539"/>
      <c r="AD189" s="539"/>
      <c r="AE189" s="539"/>
      <c r="AF189" s="721"/>
    </row>
    <row r="190" spans="1:32">
      <c r="A190" s="531" t="s">
        <v>514</v>
      </c>
      <c r="B190" s="532"/>
      <c r="C190" s="532" t="s">
        <v>1387</v>
      </c>
      <c r="D190" s="532"/>
      <c r="E190" s="532"/>
      <c r="F190" s="532"/>
      <c r="G190" s="532"/>
      <c r="H190" s="532"/>
      <c r="I190" s="532"/>
      <c r="J190" s="533"/>
      <c r="K190" s="534">
        <v>2.5000000000000001E-2</v>
      </c>
      <c r="L190" s="535"/>
      <c r="M190" s="535"/>
      <c r="N190" s="536">
        <v>6.9999999999999999E-4</v>
      </c>
      <c r="O190" s="537">
        <v>2.5000000000000001E-4</v>
      </c>
      <c r="P190" s="535"/>
      <c r="Q190" s="434"/>
      <c r="R190" s="533"/>
      <c r="S190" s="672"/>
      <c r="T190" s="533"/>
      <c r="U190" s="533"/>
      <c r="V190" s="41">
        <v>0</v>
      </c>
      <c r="W190" s="672">
        <v>0</v>
      </c>
      <c r="X190" s="533"/>
      <c r="Y190" s="672"/>
      <c r="Z190" s="538"/>
      <c r="AA190" s="434"/>
      <c r="AB190" s="539"/>
      <c r="AC190" s="539"/>
      <c r="AD190" s="539"/>
      <c r="AE190" s="539"/>
      <c r="AF190" s="721"/>
    </row>
    <row r="191" spans="1:32">
      <c r="A191" s="531" t="s">
        <v>515</v>
      </c>
      <c r="B191" s="532" t="s">
        <v>516</v>
      </c>
      <c r="C191" s="532" t="s">
        <v>1387</v>
      </c>
      <c r="D191" s="532" t="s">
        <v>43</v>
      </c>
      <c r="E191" s="532" t="s">
        <v>44</v>
      </c>
      <c r="F191" s="532" t="s">
        <v>55</v>
      </c>
      <c r="G191" s="532" t="s">
        <v>56</v>
      </c>
      <c r="H191" s="532" t="s">
        <v>45</v>
      </c>
      <c r="I191" s="532" t="s">
        <v>46</v>
      </c>
      <c r="J191" s="533">
        <v>30123065040</v>
      </c>
      <c r="K191" s="534">
        <v>2.5000000000000001E-2</v>
      </c>
      <c r="L191" s="535"/>
      <c r="M191" s="535"/>
      <c r="N191" s="536">
        <v>6.9999999999999999E-4</v>
      </c>
      <c r="O191" s="537">
        <v>2.5000000000000001E-4</v>
      </c>
      <c r="P191" s="535"/>
      <c r="Q191" s="434">
        <v>330937952</v>
      </c>
      <c r="R191" s="533">
        <v>45194562</v>
      </c>
      <c r="S191" s="672"/>
      <c r="T191" s="533">
        <v>256102538</v>
      </c>
      <c r="U191" s="533">
        <v>21090796</v>
      </c>
      <c r="V191" s="41">
        <v>8547556</v>
      </c>
      <c r="W191" s="672">
        <v>2500</v>
      </c>
      <c r="X191" s="533"/>
      <c r="Y191" s="672"/>
      <c r="Z191" s="539">
        <v>1.46E-2</v>
      </c>
      <c r="AA191" s="434">
        <f>+R191+T191+U191+V191+X191</f>
        <v>330935452</v>
      </c>
      <c r="AB191" s="539">
        <f t="shared" si="18"/>
        <v>0.13656609386171173</v>
      </c>
      <c r="AC191" s="539">
        <f t="shared" si="19"/>
        <v>6.373084501082707E-2</v>
      </c>
      <c r="AD191" s="539">
        <f t="shared" si="20"/>
        <v>1.5003307910395828E-3</v>
      </c>
      <c r="AE191" s="539">
        <f t="shared" si="21"/>
        <v>7.0015438243066649E-4</v>
      </c>
      <c r="AF191" s="721">
        <f>+(AA191/J191)+Z191</f>
        <v>2.5586114844573599E-2</v>
      </c>
    </row>
    <row r="192" spans="1:32">
      <c r="A192" s="105" t="s">
        <v>517</v>
      </c>
      <c r="B192" s="450" t="s">
        <v>518</v>
      </c>
      <c r="C192" s="450" t="s">
        <v>1387</v>
      </c>
      <c r="D192" s="450" t="s">
        <v>43</v>
      </c>
      <c r="E192" s="450" t="s">
        <v>44</v>
      </c>
      <c r="F192" s="450" t="s">
        <v>132</v>
      </c>
      <c r="G192" s="450" t="s">
        <v>116</v>
      </c>
      <c r="H192" s="450" t="s">
        <v>45</v>
      </c>
      <c r="I192" s="450" t="s">
        <v>69</v>
      </c>
      <c r="J192" s="41">
        <v>184879644.05087644</v>
      </c>
      <c r="K192" s="444">
        <v>0.02</v>
      </c>
      <c r="L192" s="51"/>
      <c r="M192" s="51"/>
      <c r="N192" s="465">
        <v>1.5E-3</v>
      </c>
      <c r="O192" s="454">
        <v>2.5000000000000001E-4</v>
      </c>
      <c r="P192" s="51"/>
      <c r="Q192" s="434">
        <v>3100133</v>
      </c>
      <c r="R192" s="41">
        <v>519425</v>
      </c>
      <c r="S192" s="672"/>
      <c r="T192" s="41">
        <v>1892193</v>
      </c>
      <c r="U192" s="41">
        <v>278264</v>
      </c>
      <c r="V192" s="41">
        <v>402071</v>
      </c>
      <c r="W192" s="672">
        <v>5101</v>
      </c>
      <c r="X192" s="449"/>
      <c r="Y192" s="672">
        <v>3079</v>
      </c>
      <c r="Z192" s="480"/>
      <c r="AA192" s="434">
        <f>+R192+T192+U192+V192+X192</f>
        <v>3091953</v>
      </c>
      <c r="AB192" s="42">
        <f t="shared" si="18"/>
        <v>0.16799252770012998</v>
      </c>
      <c r="AC192" s="42">
        <f t="shared" si="19"/>
        <v>8.9996193344465458E-2</v>
      </c>
      <c r="AD192" s="42">
        <f t="shared" si="20"/>
        <v>2.8095305065443609E-3</v>
      </c>
      <c r="AE192" s="42">
        <f t="shared" si="21"/>
        <v>1.5051089124956635E-3</v>
      </c>
      <c r="AF192" s="721">
        <f>+(AA192/J192)+Z192</f>
        <v>1.6724139728163556E-2</v>
      </c>
    </row>
    <row r="193" spans="1:32">
      <c r="A193" s="103" t="s">
        <v>519</v>
      </c>
      <c r="B193" s="40" t="s">
        <v>520</v>
      </c>
      <c r="C193" s="40" t="s">
        <v>1387</v>
      </c>
      <c r="D193" s="40" t="s">
        <v>43</v>
      </c>
      <c r="E193" s="40" t="s">
        <v>44</v>
      </c>
      <c r="F193" s="40" t="s">
        <v>1348</v>
      </c>
      <c r="G193" s="450" t="s">
        <v>81</v>
      </c>
      <c r="H193" s="40" t="s">
        <v>45</v>
      </c>
      <c r="I193" s="40" t="s">
        <v>46</v>
      </c>
      <c r="J193" s="41">
        <v>53764600529</v>
      </c>
      <c r="K193" s="444">
        <v>1.4999999999999999E-2</v>
      </c>
      <c r="L193" s="51"/>
      <c r="M193" s="51"/>
      <c r="N193" s="465">
        <v>1.4E-3</v>
      </c>
      <c r="O193" s="454">
        <v>2.5000000000000001E-4</v>
      </c>
      <c r="P193" s="51"/>
      <c r="Q193" s="434">
        <v>795137800</v>
      </c>
      <c r="R193" s="41">
        <v>104866321</v>
      </c>
      <c r="S193" s="672"/>
      <c r="T193" s="41">
        <v>594242457</v>
      </c>
      <c r="U193" s="41">
        <v>75288637</v>
      </c>
      <c r="V193" s="41">
        <v>14178376</v>
      </c>
      <c r="W193" s="672">
        <v>6562009</v>
      </c>
      <c r="X193" s="449"/>
      <c r="Y193" s="672"/>
      <c r="Z193" s="480"/>
      <c r="AA193" s="434">
        <f>+R193+T193+U193+V193+X193</f>
        <v>788575791</v>
      </c>
      <c r="AB193" s="42">
        <f t="shared" si="18"/>
        <v>0.1329819177773871</v>
      </c>
      <c r="AC193" s="42">
        <f t="shared" si="19"/>
        <v>9.5474192663872942E-2</v>
      </c>
      <c r="AD193" s="42">
        <f t="shared" si="20"/>
        <v>1.950471499243007E-3</v>
      </c>
      <c r="AE193" s="42">
        <f t="shared" si="21"/>
        <v>1.4003384431246762E-3</v>
      </c>
      <c r="AF193" s="721">
        <f>+(AA193/J193)+Z193</f>
        <v>1.466719334359513E-2</v>
      </c>
    </row>
    <row r="194" spans="1:32">
      <c r="A194" s="540" t="s">
        <v>521</v>
      </c>
      <c r="B194" s="541"/>
      <c r="C194" s="541" t="s">
        <v>1387</v>
      </c>
      <c r="D194" s="541"/>
      <c r="E194" s="541"/>
      <c r="F194" s="541" t="s">
        <v>1348</v>
      </c>
      <c r="G194" s="541"/>
      <c r="H194" s="541"/>
      <c r="I194" s="541"/>
      <c r="J194" s="542"/>
      <c r="K194" s="543">
        <v>0.02</v>
      </c>
      <c r="L194" s="544"/>
      <c r="M194" s="544"/>
      <c r="N194" s="545">
        <v>1.75E-3</v>
      </c>
      <c r="O194" s="546">
        <v>2.5000000000000001E-4</v>
      </c>
      <c r="P194" s="544"/>
      <c r="Q194" s="434"/>
      <c r="R194" s="542"/>
      <c r="S194" s="672"/>
      <c r="T194" s="542"/>
      <c r="U194" s="542"/>
      <c r="V194" s="41">
        <v>0</v>
      </c>
      <c r="W194" s="672">
        <v>0</v>
      </c>
      <c r="X194" s="542"/>
      <c r="Y194" s="672"/>
      <c r="Z194" s="547"/>
      <c r="AA194" s="434"/>
      <c r="AB194" s="548"/>
      <c r="AC194" s="548"/>
      <c r="AD194" s="548"/>
      <c r="AE194" s="548"/>
      <c r="AF194" s="721"/>
    </row>
    <row r="195" spans="1:32">
      <c r="A195" s="540" t="s">
        <v>522</v>
      </c>
      <c r="B195" s="541" t="s">
        <v>523</v>
      </c>
      <c r="C195" s="541" t="s">
        <v>1387</v>
      </c>
      <c r="D195" s="541" t="s">
        <v>43</v>
      </c>
      <c r="E195" s="541" t="s">
        <v>44</v>
      </c>
      <c r="F195" s="541" t="s">
        <v>55</v>
      </c>
      <c r="G195" s="541" t="s">
        <v>58</v>
      </c>
      <c r="H195" s="541" t="s">
        <v>62</v>
      </c>
      <c r="I195" s="541" t="s">
        <v>46</v>
      </c>
      <c r="J195" s="542">
        <v>643309257</v>
      </c>
      <c r="K195" s="543">
        <v>0.02</v>
      </c>
      <c r="L195" s="544"/>
      <c r="M195" s="544"/>
      <c r="N195" s="545">
        <v>1.75E-3</v>
      </c>
      <c r="O195" s="546">
        <v>2.5000000000000001E-4</v>
      </c>
      <c r="P195" s="544"/>
      <c r="Q195" s="434">
        <v>16995033</v>
      </c>
      <c r="R195" s="542">
        <v>1875137</v>
      </c>
      <c r="S195" s="672"/>
      <c r="T195" s="542">
        <v>10625777</v>
      </c>
      <c r="U195" s="542">
        <v>1123265</v>
      </c>
      <c r="V195" s="41">
        <v>851199</v>
      </c>
      <c r="W195" s="672">
        <v>2519655</v>
      </c>
      <c r="X195" s="542"/>
      <c r="Y195" s="672"/>
      <c r="Z195" s="547"/>
      <c r="AA195" s="434">
        <f>+R195+T195+U195+V195+X195</f>
        <v>14475378</v>
      </c>
      <c r="AB195" s="548">
        <f t="shared" ref="AB195:AB258" si="24">+R195/AA195</f>
        <v>0.12953976055063984</v>
      </c>
      <c r="AC195" s="548">
        <f t="shared" ref="AC195:AC258" si="25">+U195/AA195</f>
        <v>7.7598319021444553E-2</v>
      </c>
      <c r="AD195" s="548">
        <f t="shared" ref="AD195:AD258" si="26">+R195/J195</f>
        <v>2.9148298110064346E-3</v>
      </c>
      <c r="AE195" s="548">
        <f t="shared" ref="AE195:AE258" si="27">+U195/J195</f>
        <v>1.7460731176762781E-3</v>
      </c>
      <c r="AF195" s="721">
        <f>+(AA195/J195)+Z195</f>
        <v>2.2501429666198631E-2</v>
      </c>
    </row>
    <row r="196" spans="1:32">
      <c r="A196" s="549" t="s">
        <v>524</v>
      </c>
      <c r="B196" s="550"/>
      <c r="C196" s="550" t="s">
        <v>1387</v>
      </c>
      <c r="D196" s="550"/>
      <c r="E196" s="550"/>
      <c r="F196" s="550"/>
      <c r="G196" s="550"/>
      <c r="H196" s="550"/>
      <c r="I196" s="550"/>
      <c r="J196" s="551"/>
      <c r="K196" s="552">
        <v>0.02</v>
      </c>
      <c r="L196" s="553"/>
      <c r="M196" s="553"/>
      <c r="N196" s="554">
        <v>1.75E-3</v>
      </c>
      <c r="O196" s="555">
        <v>2.5000000000000001E-4</v>
      </c>
      <c r="P196" s="553"/>
      <c r="Q196" s="434"/>
      <c r="R196" s="551"/>
      <c r="S196" s="672"/>
      <c r="T196" s="551"/>
      <c r="U196" s="551"/>
      <c r="V196" s="41">
        <v>0</v>
      </c>
      <c r="W196" s="672">
        <v>0</v>
      </c>
      <c r="X196" s="551"/>
      <c r="Y196" s="672"/>
      <c r="Z196" s="556"/>
      <c r="AA196" s="434"/>
      <c r="AB196" s="557"/>
      <c r="AC196" s="557"/>
      <c r="AD196" s="557"/>
      <c r="AE196" s="557"/>
      <c r="AF196" s="721"/>
    </row>
    <row r="197" spans="1:32">
      <c r="A197" s="549" t="s">
        <v>525</v>
      </c>
      <c r="B197" s="550" t="s">
        <v>526</v>
      </c>
      <c r="C197" s="550" t="s">
        <v>1387</v>
      </c>
      <c r="D197" s="550" t="s">
        <v>43</v>
      </c>
      <c r="E197" s="550" t="s">
        <v>44</v>
      </c>
      <c r="F197" s="550" t="s">
        <v>55</v>
      </c>
      <c r="G197" s="550" t="s">
        <v>97</v>
      </c>
      <c r="H197" s="550" t="s">
        <v>62</v>
      </c>
      <c r="I197" s="550" t="s">
        <v>46</v>
      </c>
      <c r="J197" s="551">
        <v>1039687694</v>
      </c>
      <c r="K197" s="552">
        <v>0.02</v>
      </c>
      <c r="L197" s="553"/>
      <c r="M197" s="553"/>
      <c r="N197" s="554">
        <v>1.75E-3</v>
      </c>
      <c r="O197" s="555">
        <v>2.5000000000000001E-4</v>
      </c>
      <c r="P197" s="553"/>
      <c r="Q197" s="434">
        <v>6344629</v>
      </c>
      <c r="R197" s="551">
        <v>547737</v>
      </c>
      <c r="S197" s="672"/>
      <c r="T197" s="551">
        <v>3103847</v>
      </c>
      <c r="U197" s="551">
        <v>1824312</v>
      </c>
      <c r="V197" s="41">
        <v>866233</v>
      </c>
      <c r="W197" s="672">
        <v>2500</v>
      </c>
      <c r="X197" s="551"/>
      <c r="Y197" s="672"/>
      <c r="Z197" s="557">
        <v>1.3599999999999999E-2</v>
      </c>
      <c r="AA197" s="434">
        <f>+R197+T197+U197+V197+X197</f>
        <v>6342129</v>
      </c>
      <c r="AB197" s="557">
        <f t="shared" si="24"/>
        <v>8.6364846883436153E-2</v>
      </c>
      <c r="AC197" s="557">
        <f t="shared" si="25"/>
        <v>0.28764977817385928</v>
      </c>
      <c r="AD197" s="557">
        <f t="shared" si="26"/>
        <v>5.2682839583556714E-4</v>
      </c>
      <c r="AE197" s="557">
        <f t="shared" si="27"/>
        <v>1.7546730720465755E-3</v>
      </c>
      <c r="AF197" s="721">
        <f>+(AA197/J197)+Z197</f>
        <v>1.9700032766185649E-2</v>
      </c>
    </row>
    <row r="198" spans="1:32">
      <c r="A198" s="558" t="s">
        <v>527</v>
      </c>
      <c r="B198" s="559"/>
      <c r="C198" s="559" t="s">
        <v>1387</v>
      </c>
      <c r="D198" s="559"/>
      <c r="E198" s="559"/>
      <c r="F198" s="559"/>
      <c r="G198" s="559"/>
      <c r="H198" s="559"/>
      <c r="I198" s="559"/>
      <c r="J198" s="560"/>
      <c r="K198" s="561">
        <v>0.02</v>
      </c>
      <c r="L198" s="562"/>
      <c r="M198" s="562"/>
      <c r="N198" s="563">
        <v>1.75E-3</v>
      </c>
      <c r="O198" s="564">
        <v>2.5000000000000001E-4</v>
      </c>
      <c r="P198" s="562"/>
      <c r="Q198" s="434"/>
      <c r="R198" s="560"/>
      <c r="S198" s="672"/>
      <c r="T198" s="560"/>
      <c r="U198" s="560"/>
      <c r="V198" s="41">
        <v>0</v>
      </c>
      <c r="W198" s="672">
        <v>0</v>
      </c>
      <c r="X198" s="560"/>
      <c r="Y198" s="672"/>
      <c r="Z198" s="565"/>
      <c r="AA198" s="434"/>
      <c r="AB198" s="565"/>
      <c r="AC198" s="565"/>
      <c r="AD198" s="565"/>
      <c r="AE198" s="565"/>
      <c r="AF198" s="721"/>
    </row>
    <row r="199" spans="1:32">
      <c r="A199" s="558" t="s">
        <v>528</v>
      </c>
      <c r="B199" s="559" t="s">
        <v>529</v>
      </c>
      <c r="C199" s="559" t="s">
        <v>1387</v>
      </c>
      <c r="D199" s="559" t="s">
        <v>43</v>
      </c>
      <c r="E199" s="559" t="s">
        <v>44</v>
      </c>
      <c r="F199" s="559" t="s">
        <v>884</v>
      </c>
      <c r="G199" s="559" t="s">
        <v>97</v>
      </c>
      <c r="H199" s="559" t="s">
        <v>62</v>
      </c>
      <c r="I199" s="559" t="s">
        <v>46</v>
      </c>
      <c r="J199" s="560">
        <v>341621600</v>
      </c>
      <c r="K199" s="561">
        <v>0.02</v>
      </c>
      <c r="L199" s="562"/>
      <c r="M199" s="562"/>
      <c r="N199" s="563">
        <v>1.75E-3</v>
      </c>
      <c r="O199" s="564">
        <v>2.5000000000000001E-4</v>
      </c>
      <c r="P199" s="562"/>
      <c r="Q199" s="434">
        <v>5965318</v>
      </c>
      <c r="R199" s="560">
        <v>514534</v>
      </c>
      <c r="S199" s="672"/>
      <c r="T199" s="560">
        <v>2910841</v>
      </c>
      <c r="U199" s="560">
        <v>599441</v>
      </c>
      <c r="V199" s="41">
        <v>623473</v>
      </c>
      <c r="W199" s="672">
        <v>1317029</v>
      </c>
      <c r="X199" s="560"/>
      <c r="Y199" s="672"/>
      <c r="Z199" s="565">
        <v>3.3999999999999998E-3</v>
      </c>
      <c r="AA199" s="434">
        <f>+R199+T199+U199+V199+X199</f>
        <v>4648289</v>
      </c>
      <c r="AB199" s="565">
        <f t="shared" si="24"/>
        <v>0.11069320345615344</v>
      </c>
      <c r="AC199" s="565">
        <f t="shared" si="25"/>
        <v>0.12895949455810515</v>
      </c>
      <c r="AD199" s="565">
        <f t="shared" si="26"/>
        <v>1.5061518358323947E-3</v>
      </c>
      <c r="AE199" s="565">
        <f t="shared" si="27"/>
        <v>1.7546929116894249E-3</v>
      </c>
      <c r="AF199" s="721">
        <f>+(AA199/J199)+Z199</f>
        <v>1.7006543028895128E-2</v>
      </c>
    </row>
    <row r="200" spans="1:32" ht="25.5">
      <c r="A200" s="103" t="s">
        <v>530</v>
      </c>
      <c r="B200" s="40" t="s">
        <v>531</v>
      </c>
      <c r="C200" s="40" t="s">
        <v>1387</v>
      </c>
      <c r="D200" s="40" t="s">
        <v>43</v>
      </c>
      <c r="E200" s="40" t="s">
        <v>44</v>
      </c>
      <c r="F200" s="40" t="s">
        <v>55</v>
      </c>
      <c r="G200" s="450" t="s">
        <v>830</v>
      </c>
      <c r="H200" s="40" t="s">
        <v>62</v>
      </c>
      <c r="I200" s="40" t="s">
        <v>46</v>
      </c>
      <c r="J200" s="41">
        <v>408982482</v>
      </c>
      <c r="K200" s="444">
        <v>0.02</v>
      </c>
      <c r="L200" s="52" t="s">
        <v>532</v>
      </c>
      <c r="M200" s="52" t="s">
        <v>108</v>
      </c>
      <c r="N200" s="465">
        <v>1.75E-3</v>
      </c>
      <c r="O200" s="454">
        <v>2.5000000000000001E-4</v>
      </c>
      <c r="P200" s="51"/>
      <c r="Q200" s="434">
        <v>1391968</v>
      </c>
      <c r="R200" s="41">
        <v>0</v>
      </c>
      <c r="S200" s="672"/>
      <c r="T200" s="41"/>
      <c r="U200" s="41">
        <v>715803</v>
      </c>
      <c r="V200" s="41">
        <v>673665</v>
      </c>
      <c r="W200" s="672">
        <v>2500</v>
      </c>
      <c r="X200" s="449"/>
      <c r="Y200" s="672"/>
      <c r="Z200" s="734">
        <v>1.6899999999999998E-2</v>
      </c>
      <c r="AA200" s="434">
        <f>+R200+T200+U200+V200+X200</f>
        <v>1389468</v>
      </c>
      <c r="AB200" s="42">
        <f t="shared" si="24"/>
        <v>0</v>
      </c>
      <c r="AC200" s="42">
        <f t="shared" si="25"/>
        <v>0.51516335748646247</v>
      </c>
      <c r="AD200" s="42">
        <f t="shared" si="26"/>
        <v>0</v>
      </c>
      <c r="AE200" s="42">
        <f t="shared" si="27"/>
        <v>1.7502045478808553E-3</v>
      </c>
      <c r="AF200" s="721">
        <f>+(AA200/J200)+Z200</f>
        <v>2.0297377787931756E-2</v>
      </c>
    </row>
    <row r="201" spans="1:32">
      <c r="A201" s="566" t="s">
        <v>533</v>
      </c>
      <c r="B201" s="567"/>
      <c r="C201" s="567" t="s">
        <v>1387</v>
      </c>
      <c r="D201" s="567"/>
      <c r="E201" s="567"/>
      <c r="F201" s="567"/>
      <c r="G201" s="567"/>
      <c r="H201" s="567"/>
      <c r="I201" s="567"/>
      <c r="J201" s="568"/>
      <c r="K201" s="569">
        <v>0.02</v>
      </c>
      <c r="L201" s="570"/>
      <c r="M201" s="570"/>
      <c r="N201" s="571">
        <v>1.75E-3</v>
      </c>
      <c r="O201" s="572">
        <v>2.5000000000000001E-4</v>
      </c>
      <c r="P201" s="570"/>
      <c r="Q201" s="434"/>
      <c r="R201" s="568"/>
      <c r="S201" s="672"/>
      <c r="T201" s="568"/>
      <c r="U201" s="568"/>
      <c r="V201" s="41">
        <v>0</v>
      </c>
      <c r="W201" s="672">
        <v>0</v>
      </c>
      <c r="X201" s="568"/>
      <c r="Y201" s="672"/>
      <c r="Z201" s="573"/>
      <c r="AA201" s="434"/>
      <c r="AB201" s="573"/>
      <c r="AC201" s="573"/>
      <c r="AD201" s="573"/>
      <c r="AE201" s="573"/>
      <c r="AF201" s="721"/>
    </row>
    <row r="202" spans="1:32">
      <c r="A202" s="566" t="s">
        <v>534</v>
      </c>
      <c r="B202" s="567" t="s">
        <v>535</v>
      </c>
      <c r="C202" s="567" t="s">
        <v>1387</v>
      </c>
      <c r="D202" s="567" t="s">
        <v>43</v>
      </c>
      <c r="E202" s="567" t="s">
        <v>44</v>
      </c>
      <c r="F202" s="567" t="s">
        <v>55</v>
      </c>
      <c r="G202" s="567" t="s">
        <v>88</v>
      </c>
      <c r="H202" s="567" t="s">
        <v>62</v>
      </c>
      <c r="I202" s="567" t="s">
        <v>46</v>
      </c>
      <c r="J202" s="568">
        <v>1009886546</v>
      </c>
      <c r="K202" s="569">
        <v>0.02</v>
      </c>
      <c r="L202" s="570"/>
      <c r="M202" s="570"/>
      <c r="N202" s="571">
        <v>1.75E-3</v>
      </c>
      <c r="O202" s="572">
        <v>2.5000000000000001E-4</v>
      </c>
      <c r="P202" s="570"/>
      <c r="Q202" s="434">
        <v>10227383</v>
      </c>
      <c r="R202" s="568">
        <v>1105993</v>
      </c>
      <c r="S202" s="672"/>
      <c r="T202" s="568">
        <v>6267301</v>
      </c>
      <c r="U202" s="568">
        <v>1766302</v>
      </c>
      <c r="V202" s="41">
        <v>1044003</v>
      </c>
      <c r="W202" s="672">
        <v>43784</v>
      </c>
      <c r="X202" s="568"/>
      <c r="Y202" s="672"/>
      <c r="Z202" s="573">
        <v>4.7000000000000002E-3</v>
      </c>
      <c r="AA202" s="434">
        <f>+R202+T202+U202+V202+X202</f>
        <v>10183599</v>
      </c>
      <c r="AB202" s="573">
        <f t="shared" si="24"/>
        <v>0.10860531723607735</v>
      </c>
      <c r="AC202" s="573">
        <f t="shared" si="25"/>
        <v>0.17344575331373516</v>
      </c>
      <c r="AD202" s="573">
        <f t="shared" si="26"/>
        <v>1.0951655949677341E-3</v>
      </c>
      <c r="AE202" s="573">
        <f t="shared" si="27"/>
        <v>1.7490103289285726E-3</v>
      </c>
      <c r="AF202" s="721">
        <f>+(AA202/J202)+Z202</f>
        <v>1.4783904019056018E-2</v>
      </c>
    </row>
    <row r="203" spans="1:32">
      <c r="A203" s="574" t="s">
        <v>536</v>
      </c>
      <c r="B203" s="575"/>
      <c r="C203" s="575" t="s">
        <v>1387</v>
      </c>
      <c r="D203" s="575"/>
      <c r="E203" s="575"/>
      <c r="F203" s="575"/>
      <c r="G203" s="575"/>
      <c r="H203" s="575"/>
      <c r="I203" s="575"/>
      <c r="J203" s="576"/>
      <c r="K203" s="577">
        <v>0.02</v>
      </c>
      <c r="L203" s="578"/>
      <c r="M203" s="578"/>
      <c r="N203" s="579">
        <v>1.75E-3</v>
      </c>
      <c r="O203" s="580">
        <v>2.5000000000000001E-4</v>
      </c>
      <c r="P203" s="578"/>
      <c r="Q203" s="434"/>
      <c r="R203" s="576"/>
      <c r="S203" s="672"/>
      <c r="T203" s="576"/>
      <c r="U203" s="576"/>
      <c r="V203" s="41">
        <v>0</v>
      </c>
      <c r="W203" s="672">
        <v>0</v>
      </c>
      <c r="X203" s="576"/>
      <c r="Y203" s="672"/>
      <c r="Z203" s="581"/>
      <c r="AA203" s="434"/>
      <c r="AB203" s="581"/>
      <c r="AC203" s="581"/>
      <c r="AD203" s="581"/>
      <c r="AE203" s="581"/>
      <c r="AF203" s="721"/>
    </row>
    <row r="204" spans="1:32">
      <c r="A204" s="574" t="s">
        <v>537</v>
      </c>
      <c r="B204" s="575" t="s">
        <v>538</v>
      </c>
      <c r="C204" s="575" t="s">
        <v>1387</v>
      </c>
      <c r="D204" s="575" t="s">
        <v>43</v>
      </c>
      <c r="E204" s="575" t="s">
        <v>44</v>
      </c>
      <c r="F204" s="575" t="s">
        <v>55</v>
      </c>
      <c r="G204" s="575" t="s">
        <v>88</v>
      </c>
      <c r="H204" s="575" t="s">
        <v>62</v>
      </c>
      <c r="I204" s="575" t="s">
        <v>46</v>
      </c>
      <c r="J204" s="576">
        <v>437439723</v>
      </c>
      <c r="K204" s="577">
        <v>0.02</v>
      </c>
      <c r="L204" s="578"/>
      <c r="M204" s="578"/>
      <c r="N204" s="579">
        <v>1.75E-3</v>
      </c>
      <c r="O204" s="580">
        <v>2.5000000000000001E-4</v>
      </c>
      <c r="P204" s="578"/>
      <c r="Q204" s="434">
        <v>5558848</v>
      </c>
      <c r="R204" s="576">
        <v>580131</v>
      </c>
      <c r="S204" s="672"/>
      <c r="T204" s="576">
        <v>3287396</v>
      </c>
      <c r="U204" s="576">
        <v>766237</v>
      </c>
      <c r="V204" s="41">
        <v>901243</v>
      </c>
      <c r="W204" s="672">
        <v>23841</v>
      </c>
      <c r="X204" s="576"/>
      <c r="Y204" s="672"/>
      <c r="Z204" s="581">
        <v>3.8E-3</v>
      </c>
      <c r="AA204" s="434">
        <f>+R204+T204+U204+V204+X204</f>
        <v>5535007</v>
      </c>
      <c r="AB204" s="581">
        <f t="shared" si="24"/>
        <v>0.104811249561202</v>
      </c>
      <c r="AC204" s="581">
        <f t="shared" si="25"/>
        <v>0.13843469393986313</v>
      </c>
      <c r="AD204" s="581">
        <f t="shared" si="26"/>
        <v>1.3261964323253743E-3</v>
      </c>
      <c r="AE204" s="581">
        <f t="shared" si="27"/>
        <v>1.7516401911218291E-3</v>
      </c>
      <c r="AF204" s="721">
        <f>+(AA204/J204)+Z204</f>
        <v>1.645318787704152E-2</v>
      </c>
    </row>
    <row r="205" spans="1:32">
      <c r="A205" s="103" t="s">
        <v>539</v>
      </c>
      <c r="B205" s="40" t="s">
        <v>540</v>
      </c>
      <c r="C205" s="40" t="s">
        <v>1387</v>
      </c>
      <c r="D205" s="40" t="s">
        <v>43</v>
      </c>
      <c r="E205" s="40" t="s">
        <v>44</v>
      </c>
      <c r="F205" s="40" t="s">
        <v>55</v>
      </c>
      <c r="G205" s="450" t="s">
        <v>622</v>
      </c>
      <c r="H205" s="40" t="s">
        <v>45</v>
      </c>
      <c r="I205" s="40" t="s">
        <v>46</v>
      </c>
      <c r="J205" s="41">
        <v>222251252</v>
      </c>
      <c r="K205" s="444">
        <v>0.02</v>
      </c>
      <c r="L205" s="51"/>
      <c r="M205" s="51"/>
      <c r="N205" s="465">
        <v>1.75E-3</v>
      </c>
      <c r="O205" s="454">
        <v>2.5000000000000001E-4</v>
      </c>
      <c r="P205" s="51"/>
      <c r="Q205" s="434">
        <v>920622</v>
      </c>
      <c r="R205" s="41">
        <v>0</v>
      </c>
      <c r="S205" s="672"/>
      <c r="T205" s="41"/>
      <c r="U205" s="41">
        <v>389193</v>
      </c>
      <c r="V205" s="41">
        <v>512767</v>
      </c>
      <c r="W205" s="672">
        <v>18662</v>
      </c>
      <c r="X205" s="449"/>
      <c r="Y205" s="672"/>
      <c r="Z205" s="480"/>
      <c r="AA205" s="434">
        <f>+R205+T205+U205+V205+X205</f>
        <v>901960</v>
      </c>
      <c r="AB205" s="42">
        <f t="shared" si="24"/>
        <v>0</v>
      </c>
      <c r="AC205" s="42">
        <f t="shared" si="25"/>
        <v>0.43149696217127148</v>
      </c>
      <c r="AD205" s="42">
        <f t="shared" si="26"/>
        <v>0</v>
      </c>
      <c r="AE205" s="42">
        <f t="shared" si="27"/>
        <v>1.7511397416109945E-3</v>
      </c>
      <c r="AF205" s="721">
        <f>+(AA205/J205)+Z205</f>
        <v>4.0582898493638185E-3</v>
      </c>
    </row>
    <row r="206" spans="1:32">
      <c r="A206" s="103" t="s">
        <v>541</v>
      </c>
      <c r="B206" s="40" t="s">
        <v>542</v>
      </c>
      <c r="C206" s="40" t="s">
        <v>1387</v>
      </c>
      <c r="D206" s="40" t="s">
        <v>43</v>
      </c>
      <c r="E206" s="40" t="s">
        <v>44</v>
      </c>
      <c r="F206" s="40" t="s">
        <v>1348</v>
      </c>
      <c r="G206" s="450" t="s">
        <v>759</v>
      </c>
      <c r="H206" s="40" t="s">
        <v>45</v>
      </c>
      <c r="I206" s="40" t="s">
        <v>46</v>
      </c>
      <c r="J206" s="41">
        <v>9325115246</v>
      </c>
      <c r="K206" s="444">
        <v>0.02</v>
      </c>
      <c r="L206" s="51"/>
      <c r="M206" s="51"/>
      <c r="N206" s="465">
        <v>1.4E-3</v>
      </c>
      <c r="O206" s="454">
        <v>2.5000000000000001E-4</v>
      </c>
      <c r="P206" s="51"/>
      <c r="Q206" s="434">
        <v>137830026</v>
      </c>
      <c r="R206" s="41">
        <v>18198485</v>
      </c>
      <c r="S206" s="672"/>
      <c r="T206" s="41">
        <v>103115422</v>
      </c>
      <c r="U206" s="41">
        <v>13065583</v>
      </c>
      <c r="V206" s="41">
        <v>2929641</v>
      </c>
      <c r="W206" s="672">
        <v>520895</v>
      </c>
      <c r="X206" s="449"/>
      <c r="Y206" s="672"/>
      <c r="Z206" s="480"/>
      <c r="AA206" s="434">
        <f>+R206+T206+U206+V206+X206</f>
        <v>137309131</v>
      </c>
      <c r="AB206" s="42">
        <f t="shared" si="24"/>
        <v>0.13253659729300887</v>
      </c>
      <c r="AC206" s="42">
        <f t="shared" si="25"/>
        <v>9.5154509425888073E-2</v>
      </c>
      <c r="AD206" s="42">
        <f t="shared" si="26"/>
        <v>1.9515560419273343E-3</v>
      </c>
      <c r="AE206" s="42">
        <f t="shared" si="27"/>
        <v>1.4011175900056003E-3</v>
      </c>
      <c r="AF206" s="721">
        <f>+(AA206/J206)+Z206</f>
        <v>1.4724657806121874E-2</v>
      </c>
    </row>
    <row r="207" spans="1:32">
      <c r="A207" s="103" t="s">
        <v>543</v>
      </c>
      <c r="B207" s="40" t="s">
        <v>544</v>
      </c>
      <c r="C207" s="40" t="s">
        <v>1387</v>
      </c>
      <c r="D207" s="40" t="s">
        <v>43</v>
      </c>
      <c r="E207" s="40" t="s">
        <v>621</v>
      </c>
      <c r="F207" s="40" t="s">
        <v>1348</v>
      </c>
      <c r="G207" s="450" t="s">
        <v>759</v>
      </c>
      <c r="H207" s="40" t="s">
        <v>45</v>
      </c>
      <c r="I207" s="40" t="s">
        <v>46</v>
      </c>
      <c r="J207" s="41">
        <v>2667660591</v>
      </c>
      <c r="K207" s="444">
        <v>0.04</v>
      </c>
      <c r="L207" s="51"/>
      <c r="M207" s="51"/>
      <c r="N207" s="465">
        <v>1.4E-3</v>
      </c>
      <c r="O207" s="454">
        <v>2.5000000000000001E-4</v>
      </c>
      <c r="P207" s="51"/>
      <c r="Q207" s="434">
        <v>44947053</v>
      </c>
      <c r="R207" s="41">
        <v>6001512</v>
      </c>
      <c r="S207" s="672"/>
      <c r="T207" s="41">
        <v>34008565</v>
      </c>
      <c r="U207" s="41">
        <v>3734276</v>
      </c>
      <c r="V207" s="41">
        <v>1200200</v>
      </c>
      <c r="W207" s="672">
        <v>2500</v>
      </c>
      <c r="X207" s="449"/>
      <c r="Y207" s="672"/>
      <c r="Z207" s="480"/>
      <c r="AA207" s="434">
        <f>+R207+T207+U207+V207+X207</f>
        <v>44944553</v>
      </c>
      <c r="AB207" s="42">
        <f t="shared" si="24"/>
        <v>0.1335314648696139</v>
      </c>
      <c r="AC207" s="42">
        <f t="shared" si="25"/>
        <v>8.3086286340415941E-2</v>
      </c>
      <c r="AD207" s="42">
        <f t="shared" si="26"/>
        <v>2.2497284775460404E-3</v>
      </c>
      <c r="AE207" s="42">
        <f t="shared" si="27"/>
        <v>1.399831752434506E-3</v>
      </c>
      <c r="AF207" s="721">
        <f>+(AA207/J207)+Z207</f>
        <v>1.6847927787976981E-2</v>
      </c>
    </row>
    <row r="208" spans="1:32">
      <c r="A208" s="582" t="s">
        <v>545</v>
      </c>
      <c r="B208" s="583"/>
      <c r="C208" s="583" t="s">
        <v>1387</v>
      </c>
      <c r="D208" s="583"/>
      <c r="E208" s="583"/>
      <c r="F208" s="583"/>
      <c r="G208" s="583"/>
      <c r="H208" s="583"/>
      <c r="I208" s="583"/>
      <c r="J208" s="584"/>
      <c r="K208" s="585">
        <v>0.04</v>
      </c>
      <c r="L208" s="586"/>
      <c r="M208" s="586"/>
      <c r="N208" s="587">
        <v>1.4E-3</v>
      </c>
      <c r="O208" s="588">
        <v>2.5000000000000001E-4</v>
      </c>
      <c r="P208" s="586"/>
      <c r="Q208" s="434"/>
      <c r="R208" s="584"/>
      <c r="S208" s="672"/>
      <c r="T208" s="584"/>
      <c r="U208" s="584"/>
      <c r="V208" s="41">
        <v>0</v>
      </c>
      <c r="W208" s="672">
        <v>0</v>
      </c>
      <c r="X208" s="584"/>
      <c r="Y208" s="672"/>
      <c r="Z208" s="589"/>
      <c r="AA208" s="434"/>
      <c r="AB208" s="590"/>
      <c r="AC208" s="590"/>
      <c r="AD208" s="590"/>
      <c r="AE208" s="590"/>
      <c r="AF208" s="721"/>
    </row>
    <row r="209" spans="1:32">
      <c r="A209" s="582" t="s">
        <v>546</v>
      </c>
      <c r="B209" s="583"/>
      <c r="C209" s="583" t="s">
        <v>1387</v>
      </c>
      <c r="D209" s="583"/>
      <c r="E209" s="583"/>
      <c r="F209" s="583"/>
      <c r="G209" s="583"/>
      <c r="H209" s="583"/>
      <c r="I209" s="583"/>
      <c r="J209" s="584"/>
      <c r="K209" s="585">
        <v>0.04</v>
      </c>
      <c r="L209" s="586"/>
      <c r="M209" s="586"/>
      <c r="N209" s="587">
        <v>1.4E-3</v>
      </c>
      <c r="O209" s="588">
        <v>2.5000000000000001E-4</v>
      </c>
      <c r="P209" s="586"/>
      <c r="Q209" s="434"/>
      <c r="R209" s="584"/>
      <c r="S209" s="672"/>
      <c r="T209" s="584"/>
      <c r="U209" s="584"/>
      <c r="V209" s="41">
        <v>0</v>
      </c>
      <c r="W209" s="672">
        <v>0</v>
      </c>
      <c r="X209" s="584"/>
      <c r="Y209" s="672"/>
      <c r="Z209" s="589"/>
      <c r="AA209" s="434"/>
      <c r="AB209" s="590"/>
      <c r="AC209" s="590"/>
      <c r="AD209" s="590"/>
      <c r="AE209" s="590"/>
      <c r="AF209" s="721"/>
    </row>
    <row r="210" spans="1:32">
      <c r="A210" s="582" t="s">
        <v>547</v>
      </c>
      <c r="B210" s="583" t="s">
        <v>548</v>
      </c>
      <c r="C210" s="583" t="s">
        <v>1387</v>
      </c>
      <c r="D210" s="583" t="s">
        <v>43</v>
      </c>
      <c r="E210" s="583" t="s">
        <v>621</v>
      </c>
      <c r="F210" s="583" t="s">
        <v>1348</v>
      </c>
      <c r="G210" s="583" t="s">
        <v>759</v>
      </c>
      <c r="H210" s="583" t="s">
        <v>45</v>
      </c>
      <c r="I210" s="583" t="s">
        <v>46</v>
      </c>
      <c r="J210" s="584">
        <v>680679964</v>
      </c>
      <c r="K210" s="585">
        <v>0.04</v>
      </c>
      <c r="L210" s="586"/>
      <c r="M210" s="586"/>
      <c r="N210" s="587">
        <v>1.4E-3</v>
      </c>
      <c r="O210" s="588">
        <v>2.5000000000000001E-4</v>
      </c>
      <c r="P210" s="586"/>
      <c r="Q210" s="434">
        <v>13291599</v>
      </c>
      <c r="R210" s="584">
        <v>1735195</v>
      </c>
      <c r="S210" s="672"/>
      <c r="T210" s="584">
        <v>9832762</v>
      </c>
      <c r="U210" s="584">
        <v>952651</v>
      </c>
      <c r="V210" s="41">
        <v>768491</v>
      </c>
      <c r="W210" s="672">
        <v>2500</v>
      </c>
      <c r="X210" s="584"/>
      <c r="Y210" s="672"/>
      <c r="Z210" s="589"/>
      <c r="AA210" s="434">
        <f t="shared" ref="AA210:AA241" si="28">+R210+T210+U210+V210+X210</f>
        <v>13289099</v>
      </c>
      <c r="AB210" s="590">
        <f t="shared" si="24"/>
        <v>0.13057281009043578</v>
      </c>
      <c r="AC210" s="590">
        <f t="shared" si="25"/>
        <v>7.1686650840662711E-2</v>
      </c>
      <c r="AD210" s="590">
        <f t="shared" si="26"/>
        <v>2.5492082796196424E-3</v>
      </c>
      <c r="AE210" s="590">
        <f t="shared" si="27"/>
        <v>1.3995578691662503E-3</v>
      </c>
      <c r="AF210" s="721">
        <f t="shared" ref="AF210:AF241" si="29">+(AA210/J210)+Z210</f>
        <v>1.9523270410233495E-2</v>
      </c>
    </row>
    <row r="211" spans="1:32">
      <c r="A211" s="103" t="s">
        <v>549</v>
      </c>
      <c r="B211" s="40" t="s">
        <v>550</v>
      </c>
      <c r="C211" s="40" t="s">
        <v>1387</v>
      </c>
      <c r="D211" s="40" t="s">
        <v>43</v>
      </c>
      <c r="E211" s="40" t="s">
        <v>44</v>
      </c>
      <c r="F211" s="40" t="s">
        <v>55</v>
      </c>
      <c r="G211" s="450" t="s">
        <v>759</v>
      </c>
      <c r="H211" s="40" t="s">
        <v>62</v>
      </c>
      <c r="I211" s="40" t="s">
        <v>46</v>
      </c>
      <c r="J211" s="41">
        <v>1171556875</v>
      </c>
      <c r="K211" s="444">
        <v>0.02</v>
      </c>
      <c r="L211" s="51"/>
      <c r="M211" s="51"/>
      <c r="N211" s="465">
        <v>1.75E-3</v>
      </c>
      <c r="O211" s="454">
        <v>2.5000000000000001E-4</v>
      </c>
      <c r="P211" s="51"/>
      <c r="Q211" s="434">
        <v>5805073</v>
      </c>
      <c r="R211" s="41">
        <v>416025</v>
      </c>
      <c r="S211" s="672"/>
      <c r="T211" s="41">
        <v>2357508</v>
      </c>
      <c r="U211" s="41">
        <v>2045836</v>
      </c>
      <c r="V211" s="41">
        <v>977557</v>
      </c>
      <c r="W211" s="672">
        <v>8147</v>
      </c>
      <c r="X211" s="449"/>
      <c r="Y211" s="672"/>
      <c r="Z211" s="734">
        <v>2.5999999999999999E-3</v>
      </c>
      <c r="AA211" s="434">
        <f t="shared" si="28"/>
        <v>5796926</v>
      </c>
      <c r="AB211" s="42">
        <f t="shared" si="24"/>
        <v>7.1766484512653772E-2</v>
      </c>
      <c r="AC211" s="42">
        <f t="shared" si="25"/>
        <v>0.35291739104483999</v>
      </c>
      <c r="AD211" s="42">
        <f t="shared" si="26"/>
        <v>3.5510439900751726E-4</v>
      </c>
      <c r="AE211" s="42">
        <f t="shared" si="27"/>
        <v>1.7462541031138586E-3</v>
      </c>
      <c r="AF211" s="721">
        <f t="shared" si="29"/>
        <v>7.5480534182346031E-3</v>
      </c>
    </row>
    <row r="212" spans="1:32" ht="63.75">
      <c r="A212" s="591" t="s">
        <v>1185</v>
      </c>
      <c r="B212" s="592" t="s">
        <v>1186</v>
      </c>
      <c r="C212" s="592" t="s">
        <v>1388</v>
      </c>
      <c r="D212" s="592" t="s">
        <v>43</v>
      </c>
      <c r="E212" s="592" t="s">
        <v>44</v>
      </c>
      <c r="F212" s="592" t="s">
        <v>132</v>
      </c>
      <c r="G212" s="592" t="s">
        <v>116</v>
      </c>
      <c r="H212" s="592" t="s">
        <v>45</v>
      </c>
      <c r="I212" s="592" t="s">
        <v>46</v>
      </c>
      <c r="J212" s="593">
        <v>14671105711.528225</v>
      </c>
      <c r="K212" s="594" t="s">
        <v>1372</v>
      </c>
      <c r="L212" s="594"/>
      <c r="M212" s="594"/>
      <c r="N212" s="595">
        <v>8.4999999999999995E-4</v>
      </c>
      <c r="O212" s="594" t="s">
        <v>1188</v>
      </c>
      <c r="P212" s="594"/>
      <c r="Q212" s="466">
        <v>1653232097.1300001</v>
      </c>
      <c r="R212" s="593">
        <v>273218059</v>
      </c>
      <c r="S212" s="672"/>
      <c r="T212" s="593">
        <v>65505124</v>
      </c>
      <c r="U212" s="593">
        <v>12503575</v>
      </c>
      <c r="V212" s="41">
        <v>143176331.17000002</v>
      </c>
      <c r="W212" s="672">
        <v>499920.47</v>
      </c>
      <c r="X212" s="449"/>
      <c r="Y212" s="673">
        <v>1158329087.49</v>
      </c>
      <c r="Z212" s="592"/>
      <c r="AA212" s="434">
        <f t="shared" si="28"/>
        <v>494403089.17000002</v>
      </c>
      <c r="AB212" s="448">
        <f t="shared" si="24"/>
        <v>0.55262207090711413</v>
      </c>
      <c r="AC212" s="448">
        <f t="shared" si="25"/>
        <v>2.5290244486519901E-2</v>
      </c>
      <c r="AD212" s="448">
        <f t="shared" si="26"/>
        <v>1.8622867585591139E-2</v>
      </c>
      <c r="AE212" s="448">
        <f t="shared" si="27"/>
        <v>8.5225853087371407E-4</v>
      </c>
      <c r="AF212" s="720">
        <f t="shared" si="29"/>
        <v>3.3699102091637796E-2</v>
      </c>
    </row>
    <row r="213" spans="1:32">
      <c r="A213" s="103" t="s">
        <v>551</v>
      </c>
      <c r="B213" s="40" t="s">
        <v>552</v>
      </c>
      <c r="C213" s="40" t="s">
        <v>1389</v>
      </c>
      <c r="D213" s="40" t="s">
        <v>553</v>
      </c>
      <c r="E213" s="40" t="s">
        <v>621</v>
      </c>
      <c r="F213" s="40" t="s">
        <v>132</v>
      </c>
      <c r="G213" s="40" t="s">
        <v>116</v>
      </c>
      <c r="H213" s="40" t="s">
        <v>45</v>
      </c>
      <c r="I213" s="40" t="s">
        <v>46</v>
      </c>
      <c r="J213" s="41">
        <v>8117257917</v>
      </c>
      <c r="K213" s="51" t="s">
        <v>555</v>
      </c>
      <c r="L213" s="215" t="s">
        <v>556</v>
      </c>
      <c r="M213" s="51" t="s">
        <v>108</v>
      </c>
      <c r="N213" s="444">
        <v>4.0000000000000002E-4</v>
      </c>
      <c r="O213" s="42">
        <v>2.5000000000000001E-4</v>
      </c>
      <c r="P213" s="51"/>
      <c r="Q213" s="434">
        <v>489923555</v>
      </c>
      <c r="R213" s="41">
        <v>20263442</v>
      </c>
      <c r="S213" s="672"/>
      <c r="T213" s="41"/>
      <c r="U213" s="41">
        <v>3242191</v>
      </c>
      <c r="V213" s="41">
        <v>121919592</v>
      </c>
      <c r="W213" s="672">
        <v>749737</v>
      </c>
      <c r="X213" s="41"/>
      <c r="Y213" s="672">
        <v>343748593</v>
      </c>
      <c r="Z213" s="733"/>
      <c r="AA213" s="434">
        <f t="shared" si="28"/>
        <v>145425225</v>
      </c>
      <c r="AB213" s="42">
        <f t="shared" si="24"/>
        <v>0.13933925149505527</v>
      </c>
      <c r="AC213" s="42">
        <f t="shared" si="25"/>
        <v>2.2294557220042123E-2</v>
      </c>
      <c r="AD213" s="42">
        <f t="shared" si="26"/>
        <v>2.4963407849296257E-3</v>
      </c>
      <c r="AE213" s="42">
        <f t="shared" si="27"/>
        <v>3.9941948785560561E-4</v>
      </c>
      <c r="AF213" s="721">
        <f t="shared" si="29"/>
        <v>1.7915560462288069E-2</v>
      </c>
    </row>
    <row r="214" spans="1:32">
      <c r="A214" s="597" t="s">
        <v>1364</v>
      </c>
      <c r="B214" s="50" t="s">
        <v>312</v>
      </c>
      <c r="C214" s="680" t="s">
        <v>1390</v>
      </c>
      <c r="D214" s="50" t="s">
        <v>553</v>
      </c>
      <c r="E214" s="50" t="s">
        <v>44</v>
      </c>
      <c r="F214" s="50" t="s">
        <v>132</v>
      </c>
      <c r="G214" s="50" t="s">
        <v>116</v>
      </c>
      <c r="H214" s="50" t="s">
        <v>45</v>
      </c>
      <c r="I214" s="50" t="s">
        <v>46</v>
      </c>
      <c r="J214" s="598">
        <v>3318054074</v>
      </c>
      <c r="K214" s="599">
        <v>0.02</v>
      </c>
      <c r="L214" s="600"/>
      <c r="M214" s="600"/>
      <c r="N214" s="52">
        <v>1E-3</v>
      </c>
      <c r="O214" s="52">
        <v>3.0999999999999999E-3</v>
      </c>
      <c r="P214" s="600"/>
      <c r="Q214" s="434">
        <v>189227646.49000001</v>
      </c>
      <c r="R214" s="449">
        <v>66328466</v>
      </c>
      <c r="S214" s="677"/>
      <c r="T214" s="449">
        <v>3652991</v>
      </c>
      <c r="U214" s="449">
        <v>3944518</v>
      </c>
      <c r="V214" s="41">
        <v>82854793</v>
      </c>
      <c r="W214" s="672">
        <v>5660218.8700000001</v>
      </c>
      <c r="X214" s="601"/>
      <c r="Y214" s="672">
        <v>26786659.620000001</v>
      </c>
      <c r="Z214" s="600"/>
      <c r="AA214" s="434">
        <f t="shared" si="28"/>
        <v>156780768</v>
      </c>
      <c r="AB214" s="719">
        <f t="shared" si="24"/>
        <v>0.42306506624588036</v>
      </c>
      <c r="AC214" s="719">
        <f t="shared" si="25"/>
        <v>2.5159450679562944E-2</v>
      </c>
      <c r="AD214" s="719">
        <f t="shared" si="26"/>
        <v>1.9990170298834015E-2</v>
      </c>
      <c r="AE214" s="719">
        <f t="shared" si="27"/>
        <v>1.1888046162083132E-3</v>
      </c>
      <c r="AF214" s="725">
        <f t="shared" si="29"/>
        <v>4.7250817648971204E-2</v>
      </c>
    </row>
    <row r="215" spans="1:32">
      <c r="A215" s="103" t="s">
        <v>579</v>
      </c>
      <c r="B215" s="40" t="s">
        <v>580</v>
      </c>
      <c r="C215" s="40" t="s">
        <v>1391</v>
      </c>
      <c r="D215" s="40" t="s">
        <v>43</v>
      </c>
      <c r="E215" s="40" t="s">
        <v>44</v>
      </c>
      <c r="F215" s="40" t="s">
        <v>884</v>
      </c>
      <c r="G215" s="40" t="s">
        <v>884</v>
      </c>
      <c r="H215" s="40" t="s">
        <v>62</v>
      </c>
      <c r="I215" s="40" t="s">
        <v>46</v>
      </c>
      <c r="J215" s="455">
        <v>1311445474</v>
      </c>
      <c r="K215" s="444">
        <v>1.7500000000000002E-2</v>
      </c>
      <c r="L215" s="444">
        <v>0.2</v>
      </c>
      <c r="M215" s="444" t="s">
        <v>108</v>
      </c>
      <c r="N215" s="444">
        <v>7.5000000000000002E-4</v>
      </c>
      <c r="O215" s="42">
        <v>9.025E-3</v>
      </c>
      <c r="P215" s="444">
        <v>0.20977500000000002</v>
      </c>
      <c r="Q215" s="466">
        <v>28229000</v>
      </c>
      <c r="R215" s="455">
        <v>21676000</v>
      </c>
      <c r="S215" s="673"/>
      <c r="T215" s="455">
        <v>619000</v>
      </c>
      <c r="U215" s="455">
        <v>647000</v>
      </c>
      <c r="V215" s="41">
        <v>2243000</v>
      </c>
      <c r="W215" s="678">
        <v>37121491.110799961</v>
      </c>
      <c r="X215" s="455"/>
      <c r="Y215" s="673"/>
      <c r="Z215" s="602"/>
      <c r="AA215" s="466">
        <f t="shared" si="28"/>
        <v>25185000</v>
      </c>
      <c r="AB215" s="718">
        <f t="shared" si="24"/>
        <v>0.8606710343458408</v>
      </c>
      <c r="AC215" s="718">
        <f t="shared" si="25"/>
        <v>2.5689894778638079E-2</v>
      </c>
      <c r="AD215" s="718">
        <f t="shared" si="26"/>
        <v>1.6528327276838044E-2</v>
      </c>
      <c r="AE215" s="718">
        <f t="shared" si="27"/>
        <v>4.9334876121582465E-4</v>
      </c>
      <c r="AF215" s="721">
        <f t="shared" si="29"/>
        <v>1.9204000851963748E-2</v>
      </c>
    </row>
    <row r="216" spans="1:32">
      <c r="A216" s="103" t="s">
        <v>560</v>
      </c>
      <c r="B216" s="40" t="s">
        <v>561</v>
      </c>
      <c r="C216" s="40" t="s">
        <v>1391</v>
      </c>
      <c r="D216" s="40" t="s">
        <v>43</v>
      </c>
      <c r="E216" s="40" t="s">
        <v>44</v>
      </c>
      <c r="F216" s="40" t="s">
        <v>1348</v>
      </c>
      <c r="G216" s="40" t="s">
        <v>58</v>
      </c>
      <c r="H216" s="40" t="s">
        <v>62</v>
      </c>
      <c r="I216" s="40" t="s">
        <v>46</v>
      </c>
      <c r="J216" s="455">
        <v>2109140391</v>
      </c>
      <c r="K216" s="444">
        <v>1.7500000000000002E-2</v>
      </c>
      <c r="L216" s="444"/>
      <c r="M216" s="444"/>
      <c r="N216" s="444">
        <v>7.5000000000000002E-4</v>
      </c>
      <c r="O216" s="42">
        <v>9.025E-3</v>
      </c>
      <c r="P216" s="444">
        <v>9.7750000000000007E-3</v>
      </c>
      <c r="Q216" s="466">
        <v>39957000</v>
      </c>
      <c r="R216" s="455">
        <v>34497000</v>
      </c>
      <c r="S216" s="673"/>
      <c r="T216" s="455">
        <v>986000</v>
      </c>
      <c r="U216" s="455">
        <v>1219000</v>
      </c>
      <c r="V216" s="41">
        <v>2426000</v>
      </c>
      <c r="W216" s="672">
        <v>3403469.98795</v>
      </c>
      <c r="X216" s="455"/>
      <c r="Y216" s="673"/>
      <c r="Z216" s="456">
        <v>2.1837539449868749E-3</v>
      </c>
      <c r="AA216" s="466">
        <f t="shared" si="28"/>
        <v>39128000</v>
      </c>
      <c r="AB216" s="456">
        <f t="shared" si="24"/>
        <v>0.88164485790226943</v>
      </c>
      <c r="AC216" s="456">
        <f t="shared" si="25"/>
        <v>3.1154160703332653E-2</v>
      </c>
      <c r="AD216" s="456">
        <f t="shared" si="26"/>
        <v>1.635595247580653E-2</v>
      </c>
      <c r="AE216" s="456">
        <f t="shared" si="27"/>
        <v>5.7796057825341789E-4</v>
      </c>
      <c r="AF216" s="721">
        <f t="shared" si="29"/>
        <v>2.0735387665987478E-2</v>
      </c>
    </row>
    <row r="217" spans="1:32">
      <c r="A217" s="103" t="s">
        <v>563</v>
      </c>
      <c r="B217" s="40" t="s">
        <v>564</v>
      </c>
      <c r="C217" s="40" t="s">
        <v>1391</v>
      </c>
      <c r="D217" s="40" t="s">
        <v>43</v>
      </c>
      <c r="E217" s="40" t="s">
        <v>44</v>
      </c>
      <c r="F217" s="40" t="s">
        <v>1348</v>
      </c>
      <c r="G217" s="40" t="s">
        <v>58</v>
      </c>
      <c r="H217" s="40" t="s">
        <v>62</v>
      </c>
      <c r="I217" s="40" t="s">
        <v>46</v>
      </c>
      <c r="J217" s="455">
        <v>4525316193</v>
      </c>
      <c r="K217" s="444">
        <v>1.7500000000000002E-2</v>
      </c>
      <c r="L217" s="444"/>
      <c r="M217" s="444"/>
      <c r="N217" s="444">
        <v>7.4999999999999997E-3</v>
      </c>
      <c r="O217" s="42">
        <v>9.025E-3</v>
      </c>
      <c r="P217" s="444">
        <v>1.6524999999999998E-2</v>
      </c>
      <c r="Q217" s="466">
        <v>99846475.626758948</v>
      </c>
      <c r="R217" s="455">
        <v>89040374.698631927</v>
      </c>
      <c r="S217" s="673"/>
      <c r="T217" s="455">
        <v>2544143.5452504512</v>
      </c>
      <c r="U217" s="455">
        <v>3242481.1923568435</v>
      </c>
      <c r="V217" s="41">
        <v>3354066.435569583</v>
      </c>
      <c r="W217" s="672">
        <v>24983208.881276947</v>
      </c>
      <c r="X217" s="455"/>
      <c r="Y217" s="673"/>
      <c r="Z217" s="456">
        <v>3.7118103450702786E-3</v>
      </c>
      <c r="AA217" s="466">
        <f t="shared" si="28"/>
        <v>98181065.871808797</v>
      </c>
      <c r="AB217" s="456">
        <f t="shared" si="24"/>
        <v>0.90689965430695652</v>
      </c>
      <c r="AC217" s="456">
        <f t="shared" si="25"/>
        <v>3.3025524458966712E-2</v>
      </c>
      <c r="AD217" s="456">
        <f t="shared" si="26"/>
        <v>1.9676055970710801E-2</v>
      </c>
      <c r="AE217" s="456">
        <f t="shared" si="27"/>
        <v>7.1652036102416142E-4</v>
      </c>
      <c r="AF217" s="721">
        <f t="shared" si="29"/>
        <v>2.5407767419557248E-2</v>
      </c>
    </row>
    <row r="218" spans="1:32">
      <c r="A218" s="103" t="s">
        <v>565</v>
      </c>
      <c r="B218" s="40" t="s">
        <v>566</v>
      </c>
      <c r="C218" s="40" t="s">
        <v>1391</v>
      </c>
      <c r="D218" s="40" t="s">
        <v>43</v>
      </c>
      <c r="E218" s="40" t="s">
        <v>44</v>
      </c>
      <c r="F218" s="40" t="s">
        <v>1348</v>
      </c>
      <c r="G218" s="40" t="s">
        <v>58</v>
      </c>
      <c r="H218" s="40" t="s">
        <v>62</v>
      </c>
      <c r="I218" s="40" t="s">
        <v>69</v>
      </c>
      <c r="J218" s="455">
        <v>1100860</v>
      </c>
      <c r="K218" s="444">
        <v>1.7500000000000002E-2</v>
      </c>
      <c r="L218" s="444"/>
      <c r="M218" s="444"/>
      <c r="N218" s="444">
        <v>7.4999999999999997E-3</v>
      </c>
      <c r="O218" s="42">
        <v>9.025E-3</v>
      </c>
      <c r="P218" s="444">
        <v>1.6524999999999998E-2</v>
      </c>
      <c r="Q218" s="466">
        <v>23575.911173036246</v>
      </c>
      <c r="R218" s="455">
        <v>21024.357159645409</v>
      </c>
      <c r="S218" s="673"/>
      <c r="T218" s="455">
        <v>600.72728514218409</v>
      </c>
      <c r="U218" s="455">
        <v>765.61989886359504</v>
      </c>
      <c r="V218" s="41">
        <v>1246.8708313156656</v>
      </c>
      <c r="W218" s="672">
        <v>1317.239242576627</v>
      </c>
      <c r="X218" s="455"/>
      <c r="Y218" s="673"/>
      <c r="Z218" s="456">
        <v>3.7118103450702786E-3</v>
      </c>
      <c r="AA218" s="466">
        <f t="shared" si="28"/>
        <v>23637.575174966853</v>
      </c>
      <c r="AB218" s="456">
        <f t="shared" si="24"/>
        <v>0.88944644296302666</v>
      </c>
      <c r="AC218" s="456">
        <f t="shared" si="25"/>
        <v>3.2389950881020042E-2</v>
      </c>
      <c r="AD218" s="456">
        <f t="shared" si="26"/>
        <v>1.9098120705308041E-2</v>
      </c>
      <c r="AE218" s="456">
        <f t="shared" si="27"/>
        <v>6.9547435537997118E-4</v>
      </c>
      <c r="AF218" s="721">
        <f t="shared" si="29"/>
        <v>2.5183727914031683E-2</v>
      </c>
    </row>
    <row r="219" spans="1:32">
      <c r="A219" s="103" t="s">
        <v>581</v>
      </c>
      <c r="B219" s="40" t="s">
        <v>582</v>
      </c>
      <c r="C219" s="40" t="s">
        <v>1391</v>
      </c>
      <c r="D219" s="40" t="s">
        <v>43</v>
      </c>
      <c r="E219" s="40" t="s">
        <v>44</v>
      </c>
      <c r="F219" s="40" t="s">
        <v>1348</v>
      </c>
      <c r="G219" s="40" t="s">
        <v>365</v>
      </c>
      <c r="H219" s="40" t="s">
        <v>45</v>
      </c>
      <c r="I219" s="40" t="s">
        <v>46</v>
      </c>
      <c r="J219" s="455">
        <v>7871255846</v>
      </c>
      <c r="K219" s="444">
        <v>1.2E-2</v>
      </c>
      <c r="L219" s="444"/>
      <c r="M219" s="444"/>
      <c r="N219" s="444">
        <v>4.0000000000000002E-4</v>
      </c>
      <c r="O219" s="42">
        <v>9.025E-3</v>
      </c>
      <c r="P219" s="444">
        <v>9.4249999999999994E-3</v>
      </c>
      <c r="Q219" s="466">
        <v>95996842.500067785</v>
      </c>
      <c r="R219" s="455">
        <v>85562950.648407236</v>
      </c>
      <c r="S219" s="673"/>
      <c r="T219" s="455">
        <v>4040543.6013460411</v>
      </c>
      <c r="U219" s="455">
        <v>3233934.676869004</v>
      </c>
      <c r="V219" s="41">
        <v>2976157.2750895908</v>
      </c>
      <c r="W219" s="672">
        <v>183256.29835591023</v>
      </c>
      <c r="X219" s="455"/>
      <c r="Y219" s="673"/>
      <c r="Z219" s="602"/>
      <c r="AA219" s="466">
        <f t="shared" si="28"/>
        <v>95813586.201711878</v>
      </c>
      <c r="AB219" s="718">
        <f t="shared" si="24"/>
        <v>0.89301480134848044</v>
      </c>
      <c r="AC219" s="718">
        <f t="shared" si="25"/>
        <v>3.3752360234807953E-2</v>
      </c>
      <c r="AD219" s="718">
        <f t="shared" si="26"/>
        <v>1.0870304856357637E-2</v>
      </c>
      <c r="AE219" s="718">
        <f t="shared" si="27"/>
        <v>4.108537112934042E-4</v>
      </c>
      <c r="AF219" s="721">
        <f t="shared" si="29"/>
        <v>1.2172592033125469E-2</v>
      </c>
    </row>
    <row r="220" spans="1:32">
      <c r="A220" s="103" t="s">
        <v>583</v>
      </c>
      <c r="B220" s="40" t="s">
        <v>584</v>
      </c>
      <c r="C220" s="40" t="s">
        <v>1391</v>
      </c>
      <c r="D220" s="40" t="s">
        <v>43</v>
      </c>
      <c r="E220" s="40" t="s">
        <v>44</v>
      </c>
      <c r="F220" s="40" t="s">
        <v>1348</v>
      </c>
      <c r="G220" s="40" t="s">
        <v>365</v>
      </c>
      <c r="H220" s="40" t="s">
        <v>45</v>
      </c>
      <c r="I220" s="40" t="s">
        <v>46</v>
      </c>
      <c r="J220" s="455">
        <v>8766210456</v>
      </c>
      <c r="K220" s="444">
        <v>7.4999999999999997E-3</v>
      </c>
      <c r="L220" s="444"/>
      <c r="M220" s="444"/>
      <c r="N220" s="444">
        <v>4.0000000000000002E-4</v>
      </c>
      <c r="O220" s="42">
        <v>9.025E-3</v>
      </c>
      <c r="P220" s="444">
        <v>9.4249999999999994E-3</v>
      </c>
      <c r="Q220" s="466">
        <v>36077157.4999322</v>
      </c>
      <c r="R220" s="455">
        <v>24249049.351592749</v>
      </c>
      <c r="S220" s="673"/>
      <c r="T220" s="455">
        <v>4580456.398653958</v>
      </c>
      <c r="U220" s="455">
        <v>3666065.3231309955</v>
      </c>
      <c r="V220" s="41">
        <v>3373842.7249104083</v>
      </c>
      <c r="W220" s="672">
        <v>207743.70164408974</v>
      </c>
      <c r="X220" s="455"/>
      <c r="Y220" s="673"/>
      <c r="Z220" s="602"/>
      <c r="AA220" s="466">
        <f t="shared" si="28"/>
        <v>35869413.798288107</v>
      </c>
      <c r="AB220" s="718">
        <f t="shared" si="24"/>
        <v>0.67603695694491817</v>
      </c>
      <c r="AC220" s="718">
        <f t="shared" si="25"/>
        <v>0.10220588894335265</v>
      </c>
      <c r="AD220" s="718">
        <f t="shared" si="26"/>
        <v>2.7661952075307044E-3</v>
      </c>
      <c r="AE220" s="718">
        <f t="shared" si="27"/>
        <v>4.1820411927502501E-4</v>
      </c>
      <c r="AF220" s="721">
        <f t="shared" si="29"/>
        <v>4.091781047047236E-3</v>
      </c>
    </row>
    <row r="221" spans="1:32">
      <c r="A221" s="103" t="s">
        <v>567</v>
      </c>
      <c r="B221" s="40" t="s">
        <v>568</v>
      </c>
      <c r="C221" s="40" t="s">
        <v>1391</v>
      </c>
      <c r="D221" s="40" t="s">
        <v>43</v>
      </c>
      <c r="E221" s="40" t="s">
        <v>44</v>
      </c>
      <c r="F221" s="40" t="s">
        <v>1348</v>
      </c>
      <c r="G221" s="40" t="s">
        <v>58</v>
      </c>
      <c r="H221" s="40" t="s">
        <v>62</v>
      </c>
      <c r="I221" s="40" t="s">
        <v>46</v>
      </c>
      <c r="J221" s="455">
        <v>1924377457</v>
      </c>
      <c r="K221" s="444">
        <v>1.7500000000000002E-2</v>
      </c>
      <c r="L221" s="444"/>
      <c r="M221" s="444"/>
      <c r="N221" s="444">
        <v>8.0000000000000002E-3</v>
      </c>
      <c r="O221" s="42">
        <v>9.025E-3</v>
      </c>
      <c r="P221" s="444">
        <v>1.7024999999999998E-2</v>
      </c>
      <c r="Q221" s="466">
        <v>38624290.645038858</v>
      </c>
      <c r="R221" s="455">
        <v>34634420.80503428</v>
      </c>
      <c r="S221" s="673"/>
      <c r="T221" s="455">
        <v>989354.40306114929</v>
      </c>
      <c r="U221" s="455">
        <v>1247218.0506675127</v>
      </c>
      <c r="V221" s="41">
        <v>1477014.9066976733</v>
      </c>
      <c r="W221" s="672">
        <v>3679965.2241013455</v>
      </c>
      <c r="X221" s="455"/>
      <c r="Y221" s="673"/>
      <c r="Z221" s="456">
        <v>2.8999999999999998E-3</v>
      </c>
      <c r="AA221" s="466">
        <f t="shared" si="28"/>
        <v>38348008.165460616</v>
      </c>
      <c r="AB221" s="456">
        <f t="shared" si="24"/>
        <v>0.90316088010612505</v>
      </c>
      <c r="AC221" s="456">
        <f t="shared" si="25"/>
        <v>3.2523672293124736E-2</v>
      </c>
      <c r="AD221" s="456">
        <f t="shared" si="26"/>
        <v>1.799772735803477E-2</v>
      </c>
      <c r="AE221" s="456">
        <f t="shared" si="27"/>
        <v>6.4811508060994331E-4</v>
      </c>
      <c r="AF221" s="721">
        <f t="shared" si="29"/>
        <v>2.2827487731665222E-2</v>
      </c>
    </row>
    <row r="222" spans="1:32">
      <c r="A222" s="103" t="s">
        <v>569</v>
      </c>
      <c r="B222" s="40" t="s">
        <v>570</v>
      </c>
      <c r="C222" s="40" t="s">
        <v>1391</v>
      </c>
      <c r="D222" s="40" t="s">
        <v>43</v>
      </c>
      <c r="E222" s="40" t="s">
        <v>44</v>
      </c>
      <c r="F222" s="40" t="s">
        <v>1348</v>
      </c>
      <c r="G222" s="40" t="s">
        <v>58</v>
      </c>
      <c r="H222" s="40" t="s">
        <v>62</v>
      </c>
      <c r="I222" s="40" t="s">
        <v>239</v>
      </c>
      <c r="J222" s="455">
        <v>12413877</v>
      </c>
      <c r="K222" s="444">
        <v>1.7500000000000002E-2</v>
      </c>
      <c r="L222" s="444"/>
      <c r="M222" s="444"/>
      <c r="N222" s="444">
        <v>8.0000000000000002E-3</v>
      </c>
      <c r="O222" s="42">
        <v>9.025E-3</v>
      </c>
      <c r="P222" s="444">
        <v>1.7024999999999998E-2</v>
      </c>
      <c r="Q222" s="466">
        <v>221029.67824987677</v>
      </c>
      <c r="R222" s="455">
        <v>198197.42341056687</v>
      </c>
      <c r="S222" s="673"/>
      <c r="T222" s="455">
        <v>5661.6362846211359</v>
      </c>
      <c r="U222" s="455">
        <v>7137.2755290170717</v>
      </c>
      <c r="V222" s="41">
        <v>8452.3009781046039</v>
      </c>
      <c r="W222" s="672">
        <v>21058.80822327366</v>
      </c>
      <c r="X222" s="455"/>
      <c r="Y222" s="673"/>
      <c r="Z222" s="456">
        <v>2.8999999999999998E-3</v>
      </c>
      <c r="AA222" s="466">
        <f t="shared" si="28"/>
        <v>219448.63620230969</v>
      </c>
      <c r="AB222" s="456">
        <f t="shared" si="24"/>
        <v>0.90316088010612505</v>
      </c>
      <c r="AC222" s="456">
        <f t="shared" si="25"/>
        <v>3.2523672293124743E-2</v>
      </c>
      <c r="AD222" s="456">
        <f t="shared" si="26"/>
        <v>1.596579565034895E-2</v>
      </c>
      <c r="AE222" s="456">
        <f t="shared" si="27"/>
        <v>5.7494330973450688E-4</v>
      </c>
      <c r="AF222" s="721">
        <f t="shared" si="29"/>
        <v>2.0577687333482496E-2</v>
      </c>
    </row>
    <row r="223" spans="1:32">
      <c r="A223" s="103" t="s">
        <v>571</v>
      </c>
      <c r="B223" s="40" t="s">
        <v>572</v>
      </c>
      <c r="C223" s="40" t="s">
        <v>1391</v>
      </c>
      <c r="D223" s="40" t="s">
        <v>43</v>
      </c>
      <c r="E223" s="40" t="s">
        <v>44</v>
      </c>
      <c r="F223" s="40" t="s">
        <v>1348</v>
      </c>
      <c r="G223" s="40" t="s">
        <v>58</v>
      </c>
      <c r="H223" s="40" t="s">
        <v>62</v>
      </c>
      <c r="I223" s="40" t="s">
        <v>46</v>
      </c>
      <c r="J223" s="455">
        <v>1298939819</v>
      </c>
      <c r="K223" s="444">
        <v>1.7500000000000002E-2</v>
      </c>
      <c r="L223" s="444"/>
      <c r="M223" s="444"/>
      <c r="N223" s="444">
        <v>7.5000000000000002E-4</v>
      </c>
      <c r="O223" s="42">
        <v>9.025E-3</v>
      </c>
      <c r="P223" s="444">
        <v>9.7750000000000007E-3</v>
      </c>
      <c r="Q223" s="466">
        <v>26772000</v>
      </c>
      <c r="R223" s="455">
        <v>22277000</v>
      </c>
      <c r="S223" s="673"/>
      <c r="T223" s="455">
        <v>637000</v>
      </c>
      <c r="U223" s="455">
        <v>1212000</v>
      </c>
      <c r="V223" s="41">
        <v>2251000</v>
      </c>
      <c r="W223" s="672">
        <v>1794380.4000426366</v>
      </c>
      <c r="X223" s="455"/>
      <c r="Y223" s="673"/>
      <c r="Z223" s="456">
        <v>1.4E-3</v>
      </c>
      <c r="AA223" s="466">
        <f t="shared" si="28"/>
        <v>26377000</v>
      </c>
      <c r="AB223" s="456">
        <f t="shared" si="24"/>
        <v>0.84456154983508358</v>
      </c>
      <c r="AC223" s="456">
        <f t="shared" si="25"/>
        <v>4.5949122341433828E-2</v>
      </c>
      <c r="AD223" s="456">
        <f t="shared" si="26"/>
        <v>1.71501401944473E-2</v>
      </c>
      <c r="AE223" s="456">
        <f t="shared" si="27"/>
        <v>9.3306863202720868E-4</v>
      </c>
      <c r="AF223" s="721">
        <f t="shared" si="29"/>
        <v>2.1706560484308319E-2</v>
      </c>
    </row>
    <row r="224" spans="1:32">
      <c r="A224" s="103" t="s">
        <v>585</v>
      </c>
      <c r="B224" s="40" t="s">
        <v>586</v>
      </c>
      <c r="C224" s="40" t="s">
        <v>1391</v>
      </c>
      <c r="D224" s="40" t="s">
        <v>43</v>
      </c>
      <c r="E224" s="40" t="s">
        <v>44</v>
      </c>
      <c r="F224" s="40" t="s">
        <v>1348</v>
      </c>
      <c r="G224" s="40" t="s">
        <v>58</v>
      </c>
      <c r="H224" s="40" t="s">
        <v>62</v>
      </c>
      <c r="I224" s="40" t="s">
        <v>46</v>
      </c>
      <c r="J224" s="455">
        <v>4847687212</v>
      </c>
      <c r="K224" s="444">
        <v>1.7500000000000002E-2</v>
      </c>
      <c r="L224" s="444"/>
      <c r="M224" s="444"/>
      <c r="N224" s="444">
        <v>8.0000000000000002E-3</v>
      </c>
      <c r="O224" s="42">
        <v>9.025E-3</v>
      </c>
      <c r="P224" s="444">
        <v>1.7024999999999998E-2</v>
      </c>
      <c r="Q224" s="466">
        <v>95866221.797041923</v>
      </c>
      <c r="R224" s="455">
        <v>84930062.487821385</v>
      </c>
      <c r="S224" s="673"/>
      <c r="T224" s="455">
        <v>2426814.668013006</v>
      </c>
      <c r="U224" s="455">
        <v>3326834.7335152179</v>
      </c>
      <c r="V224" s="41">
        <v>2926121.5744614159</v>
      </c>
      <c r="W224" s="672">
        <v>29401982.468044277</v>
      </c>
      <c r="X224" s="455"/>
      <c r="Y224" s="673"/>
      <c r="Z224" s="456"/>
      <c r="AA224" s="466">
        <f t="shared" si="28"/>
        <v>93609833.463811025</v>
      </c>
      <c r="AB224" s="456">
        <f t="shared" si="24"/>
        <v>0.9072771454150147</v>
      </c>
      <c r="AC224" s="456">
        <f t="shared" si="25"/>
        <v>3.5539372418618299E-2</v>
      </c>
      <c r="AD224" s="456">
        <f t="shared" si="26"/>
        <v>1.7519707599447609E-2</v>
      </c>
      <c r="AE224" s="456">
        <f t="shared" si="27"/>
        <v>6.8627256421989176E-4</v>
      </c>
      <c r="AF224" s="721">
        <f t="shared" si="29"/>
        <v>1.9310204922481089E-2</v>
      </c>
    </row>
    <row r="225" spans="1:32">
      <c r="A225" s="103" t="s">
        <v>587</v>
      </c>
      <c r="B225" s="40" t="s">
        <v>588</v>
      </c>
      <c r="C225" s="40" t="s">
        <v>1391</v>
      </c>
      <c r="D225" s="40" t="s">
        <v>43</v>
      </c>
      <c r="E225" s="40" t="s">
        <v>44</v>
      </c>
      <c r="F225" s="40" t="s">
        <v>1348</v>
      </c>
      <c r="G225" s="40" t="s">
        <v>58</v>
      </c>
      <c r="H225" s="40" t="s">
        <v>62</v>
      </c>
      <c r="I225" s="40" t="s">
        <v>69</v>
      </c>
      <c r="J225" s="455">
        <v>11164870</v>
      </c>
      <c r="K225" s="444">
        <v>1.7500000000000002E-2</v>
      </c>
      <c r="L225" s="444"/>
      <c r="M225" s="444"/>
      <c r="N225" s="444">
        <v>8.0000000000000002E-3</v>
      </c>
      <c r="O225" s="42">
        <v>9.025E-3</v>
      </c>
      <c r="P225" s="444">
        <v>1.7024999999999998E-2</v>
      </c>
      <c r="Q225" s="466">
        <v>135568.12513277965</v>
      </c>
      <c r="R225" s="455">
        <v>120102.88006613648</v>
      </c>
      <c r="S225" s="673"/>
      <c r="T225" s="455">
        <v>3431.8523085615543</v>
      </c>
      <c r="U225" s="455">
        <v>4704.6054282196119</v>
      </c>
      <c r="V225" s="41">
        <v>4137.9414805784263</v>
      </c>
      <c r="W225" s="672">
        <v>41578.478463648098</v>
      </c>
      <c r="X225" s="455"/>
      <c r="Y225" s="673"/>
      <c r="Z225" s="602"/>
      <c r="AA225" s="466">
        <f t="shared" si="28"/>
        <v>132377.27928349609</v>
      </c>
      <c r="AB225" s="718">
        <f t="shared" si="24"/>
        <v>0.90727714541501459</v>
      </c>
      <c r="AC225" s="718">
        <f t="shared" si="25"/>
        <v>3.5539372418618292E-2</v>
      </c>
      <c r="AD225" s="718">
        <f t="shared" si="26"/>
        <v>1.0757212584305637E-2</v>
      </c>
      <c r="AE225" s="718">
        <f t="shared" si="27"/>
        <v>4.2137574626660335E-4</v>
      </c>
      <c r="AF225" s="721">
        <f t="shared" si="29"/>
        <v>1.1856589399025343E-2</v>
      </c>
    </row>
    <row r="226" spans="1:32">
      <c r="A226" s="103" t="s">
        <v>589</v>
      </c>
      <c r="B226" s="40" t="s">
        <v>590</v>
      </c>
      <c r="C226" s="40" t="s">
        <v>1391</v>
      </c>
      <c r="D226" s="40" t="s">
        <v>43</v>
      </c>
      <c r="E226" s="40" t="s">
        <v>44</v>
      </c>
      <c r="F226" s="40" t="s">
        <v>884</v>
      </c>
      <c r="G226" s="40" t="s">
        <v>97</v>
      </c>
      <c r="H226" s="40" t="s">
        <v>62</v>
      </c>
      <c r="I226" s="40" t="s">
        <v>46</v>
      </c>
      <c r="J226" s="455">
        <v>637979420</v>
      </c>
      <c r="K226" s="444">
        <v>1.7500000000000002E-2</v>
      </c>
      <c r="L226" s="444">
        <v>0.2</v>
      </c>
      <c r="M226" s="444" t="s">
        <v>108</v>
      </c>
      <c r="N226" s="444">
        <v>7.5000000000000002E-4</v>
      </c>
      <c r="O226" s="42">
        <v>9.025E-3</v>
      </c>
      <c r="P226" s="444">
        <v>0.20977500000000002</v>
      </c>
      <c r="Q226" s="466">
        <v>14748000</v>
      </c>
      <c r="R226" s="455">
        <v>10078000</v>
      </c>
      <c r="S226" s="673"/>
      <c r="T226" s="455">
        <v>288000</v>
      </c>
      <c r="U226" s="455">
        <v>312000</v>
      </c>
      <c r="V226" s="41">
        <v>2076000</v>
      </c>
      <c r="W226" s="672">
        <v>12095530.5287595</v>
      </c>
      <c r="X226" s="455"/>
      <c r="Y226" s="673"/>
      <c r="Z226" s="602"/>
      <c r="AA226" s="466">
        <f t="shared" si="28"/>
        <v>12754000</v>
      </c>
      <c r="AB226" s="718">
        <f t="shared" si="24"/>
        <v>0.79018347185196802</v>
      </c>
      <c r="AC226" s="718">
        <f t="shared" si="25"/>
        <v>2.4462913595734673E-2</v>
      </c>
      <c r="AD226" s="718">
        <f t="shared" si="26"/>
        <v>1.5796747801049758E-2</v>
      </c>
      <c r="AE226" s="718">
        <f t="shared" si="27"/>
        <v>4.8904398828413615E-4</v>
      </c>
      <c r="AF226" s="721">
        <f t="shared" si="29"/>
        <v>1.9991240469794464E-2</v>
      </c>
    </row>
    <row r="227" spans="1:32">
      <c r="A227" s="103" t="s">
        <v>591</v>
      </c>
      <c r="B227" s="40" t="s">
        <v>592</v>
      </c>
      <c r="C227" s="40" t="s">
        <v>1391</v>
      </c>
      <c r="D227" s="40" t="s">
        <v>43</v>
      </c>
      <c r="E227" s="40" t="s">
        <v>44</v>
      </c>
      <c r="F227" s="40" t="s">
        <v>1348</v>
      </c>
      <c r="G227" s="40" t="s">
        <v>48</v>
      </c>
      <c r="H227" s="40" t="s">
        <v>45</v>
      </c>
      <c r="I227" s="40" t="s">
        <v>46</v>
      </c>
      <c r="J227" s="455">
        <v>1294202387</v>
      </c>
      <c r="K227" s="444">
        <v>1.4999999999999999E-2</v>
      </c>
      <c r="L227" s="444"/>
      <c r="M227" s="444"/>
      <c r="N227" s="444">
        <v>4.0000000000000002E-4</v>
      </c>
      <c r="O227" s="42">
        <v>9.025E-3</v>
      </c>
      <c r="P227" s="444">
        <v>9.4249999999999994E-3</v>
      </c>
      <c r="Q227" s="466">
        <v>9196474.5342134498</v>
      </c>
      <c r="R227" s="455">
        <v>13587315.840732574</v>
      </c>
      <c r="S227" s="673"/>
      <c r="T227" s="455">
        <v>679943.37117962493</v>
      </c>
      <c r="U227" s="455">
        <v>544208.74570795172</v>
      </c>
      <c r="V227" s="41">
        <v>525064.35668754857</v>
      </c>
      <c r="W227" s="672">
        <v>37199.997622584226</v>
      </c>
      <c r="X227" s="455"/>
      <c r="Y227" s="673"/>
      <c r="Z227" s="602"/>
      <c r="AA227" s="466">
        <f t="shared" si="28"/>
        <v>15336532.314307701</v>
      </c>
      <c r="AB227" s="718">
        <f t="shared" si="24"/>
        <v>0.88594446008220162</v>
      </c>
      <c r="AC227" s="718">
        <f t="shared" si="25"/>
        <v>3.5484471623370199E-2</v>
      </c>
      <c r="AD227" s="718">
        <f t="shared" si="26"/>
        <v>1.0498602055763768E-2</v>
      </c>
      <c r="AE227" s="718">
        <f t="shared" si="27"/>
        <v>4.2049740533197744E-4</v>
      </c>
      <c r="AF227" s="721">
        <f t="shared" si="29"/>
        <v>1.1850180828253797E-2</v>
      </c>
    </row>
    <row r="228" spans="1:32">
      <c r="A228" s="103" t="s">
        <v>593</v>
      </c>
      <c r="B228" s="40" t="s">
        <v>594</v>
      </c>
      <c r="C228" s="40" t="s">
        <v>1391</v>
      </c>
      <c r="D228" s="40" t="s">
        <v>43</v>
      </c>
      <c r="E228" s="40" t="s">
        <v>44</v>
      </c>
      <c r="F228" s="40" t="s">
        <v>1348</v>
      </c>
      <c r="G228" s="40" t="s">
        <v>48</v>
      </c>
      <c r="H228" s="40" t="s">
        <v>45</v>
      </c>
      <c r="I228" s="40" t="s">
        <v>46</v>
      </c>
      <c r="J228" s="455">
        <v>14188784677</v>
      </c>
      <c r="K228" s="444">
        <v>7.4999999999999997E-3</v>
      </c>
      <c r="L228" s="444"/>
      <c r="M228" s="444"/>
      <c r="N228" s="444">
        <v>4.0000000000000002E-4</v>
      </c>
      <c r="O228" s="42">
        <v>9.025E-3</v>
      </c>
      <c r="P228" s="444">
        <v>9.4249999999999994E-3</v>
      </c>
      <c r="Q228" s="466">
        <v>92162525.465786546</v>
      </c>
      <c r="R228" s="455">
        <v>68082684.159267426</v>
      </c>
      <c r="S228" s="673"/>
      <c r="T228" s="455">
        <v>6814056.6288203755</v>
      </c>
      <c r="U228" s="455">
        <v>5453791.2542920485</v>
      </c>
      <c r="V228" s="41">
        <v>5261935.6433124514</v>
      </c>
      <c r="W228" s="672">
        <v>372800.00237741577</v>
      </c>
      <c r="X228" s="455"/>
      <c r="Y228" s="673"/>
      <c r="Z228" s="602"/>
      <c r="AA228" s="466">
        <f t="shared" si="28"/>
        <v>85612467.68569231</v>
      </c>
      <c r="AB228" s="718">
        <f t="shared" si="24"/>
        <v>0.7952426322906414</v>
      </c>
      <c r="AC228" s="718">
        <f t="shared" si="25"/>
        <v>6.3703236242581687E-2</v>
      </c>
      <c r="AD228" s="718">
        <f t="shared" si="26"/>
        <v>4.7983450104524712E-3</v>
      </c>
      <c r="AE228" s="718">
        <f t="shared" si="27"/>
        <v>3.8437338915521329E-4</v>
      </c>
      <c r="AF228" s="721">
        <f t="shared" si="29"/>
        <v>6.0338125945677366E-3</v>
      </c>
    </row>
    <row r="229" spans="1:32">
      <c r="A229" s="103" t="s">
        <v>573</v>
      </c>
      <c r="B229" s="40" t="s">
        <v>574</v>
      </c>
      <c r="C229" s="40" t="s">
        <v>1391</v>
      </c>
      <c r="D229" s="40" t="s">
        <v>43</v>
      </c>
      <c r="E229" s="40" t="s">
        <v>44</v>
      </c>
      <c r="F229" s="40" t="s">
        <v>1348</v>
      </c>
      <c r="G229" s="40" t="s">
        <v>58</v>
      </c>
      <c r="H229" s="40" t="s">
        <v>62</v>
      </c>
      <c r="I229" s="40" t="s">
        <v>46</v>
      </c>
      <c r="J229" s="455">
        <v>2415278072</v>
      </c>
      <c r="K229" s="444">
        <v>1.7500000000000002E-2</v>
      </c>
      <c r="L229" s="444"/>
      <c r="M229" s="444"/>
      <c r="N229" s="444">
        <v>7.5000000000000002E-4</v>
      </c>
      <c r="O229" s="42">
        <v>9.025E-3</v>
      </c>
      <c r="P229" s="444">
        <v>9.7750000000000007E-3</v>
      </c>
      <c r="Q229" s="466">
        <v>46892000</v>
      </c>
      <c r="R229" s="455">
        <v>40960000</v>
      </c>
      <c r="S229" s="673"/>
      <c r="T229" s="455">
        <v>1171000</v>
      </c>
      <c r="U229" s="455">
        <v>1458000</v>
      </c>
      <c r="V229" s="41">
        <v>2517000</v>
      </c>
      <c r="W229" s="672">
        <v>3365259.0873666732</v>
      </c>
      <c r="X229" s="455"/>
      <c r="Y229" s="673"/>
      <c r="Z229" s="456">
        <v>2.8E-3</v>
      </c>
      <c r="AA229" s="466">
        <f t="shared" si="28"/>
        <v>46106000</v>
      </c>
      <c r="AB229" s="456">
        <f t="shared" si="24"/>
        <v>0.88838762850822017</v>
      </c>
      <c r="AC229" s="456">
        <f t="shared" si="25"/>
        <v>3.162278228430139E-2</v>
      </c>
      <c r="AD229" s="456">
        <f t="shared" si="26"/>
        <v>1.6958709837531286E-2</v>
      </c>
      <c r="AE229" s="456">
        <f t="shared" si="27"/>
        <v>6.0365720075978072E-4</v>
      </c>
      <c r="AF229" s="721">
        <f t="shared" si="29"/>
        <v>2.1889313373271914E-2</v>
      </c>
    </row>
    <row r="230" spans="1:32">
      <c r="A230" s="103" t="s">
        <v>595</v>
      </c>
      <c r="B230" s="40" t="s">
        <v>596</v>
      </c>
      <c r="C230" s="40" t="s">
        <v>1391</v>
      </c>
      <c r="D230" s="40" t="s">
        <v>43</v>
      </c>
      <c r="E230" s="40" t="s">
        <v>44</v>
      </c>
      <c r="F230" s="40" t="s">
        <v>884</v>
      </c>
      <c r="G230" s="40" t="s">
        <v>97</v>
      </c>
      <c r="H230" s="40" t="s">
        <v>62</v>
      </c>
      <c r="I230" s="40" t="s">
        <v>46</v>
      </c>
      <c r="J230" s="455">
        <v>970808499</v>
      </c>
      <c r="K230" s="444">
        <v>1.7500000000000002E-2</v>
      </c>
      <c r="L230" s="444">
        <v>0.2</v>
      </c>
      <c r="M230" s="444" t="s">
        <v>108</v>
      </c>
      <c r="N230" s="444">
        <v>7.5000000000000002E-4</v>
      </c>
      <c r="O230" s="42">
        <v>9.025E-3</v>
      </c>
      <c r="P230" s="444">
        <v>0.20977500000000002</v>
      </c>
      <c r="Q230" s="466">
        <v>22863000</v>
      </c>
      <c r="R230" s="455">
        <v>17219000</v>
      </c>
      <c r="S230" s="673"/>
      <c r="T230" s="455">
        <v>492000</v>
      </c>
      <c r="U230" s="455">
        <v>581000</v>
      </c>
      <c r="V230" s="41">
        <v>2479000</v>
      </c>
      <c r="W230" s="672">
        <v>5108258.3343000012</v>
      </c>
      <c r="X230" s="455"/>
      <c r="Y230" s="673"/>
      <c r="Z230" s="602"/>
      <c r="AA230" s="466">
        <f t="shared" si="28"/>
        <v>20771000</v>
      </c>
      <c r="AB230" s="718">
        <f t="shared" si="24"/>
        <v>0.82899234509652886</v>
      </c>
      <c r="AC230" s="718">
        <f t="shared" si="25"/>
        <v>2.7971691300370711E-2</v>
      </c>
      <c r="AD230" s="718">
        <f t="shared" si="26"/>
        <v>1.7736762726878436E-2</v>
      </c>
      <c r="AE230" s="718">
        <f t="shared" si="27"/>
        <v>5.9847024474803242E-4</v>
      </c>
      <c r="AF230" s="721">
        <f t="shared" si="29"/>
        <v>2.1395568767059177E-2</v>
      </c>
    </row>
    <row r="231" spans="1:32">
      <c r="A231" s="103" t="s">
        <v>597</v>
      </c>
      <c r="B231" s="40" t="s">
        <v>598</v>
      </c>
      <c r="C231" s="40" t="s">
        <v>1391</v>
      </c>
      <c r="D231" s="40" t="s">
        <v>43</v>
      </c>
      <c r="E231" s="40" t="s">
        <v>44</v>
      </c>
      <c r="F231" s="40" t="s">
        <v>884</v>
      </c>
      <c r="G231" s="40" t="s">
        <v>97</v>
      </c>
      <c r="H231" s="40" t="s">
        <v>62</v>
      </c>
      <c r="I231" s="40" t="s">
        <v>46</v>
      </c>
      <c r="J231" s="455">
        <v>611671012</v>
      </c>
      <c r="K231" s="444">
        <v>1.7500000000000002E-2</v>
      </c>
      <c r="L231" s="444">
        <v>0.2</v>
      </c>
      <c r="M231" s="444" t="s">
        <v>108</v>
      </c>
      <c r="N231" s="444">
        <v>7.5000000000000002E-4</v>
      </c>
      <c r="O231" s="42">
        <v>9.025E-3</v>
      </c>
      <c r="P231" s="444">
        <v>0.20977500000000002</v>
      </c>
      <c r="Q231" s="466">
        <v>35058000</v>
      </c>
      <c r="R231" s="455">
        <v>11450000</v>
      </c>
      <c r="S231" s="673">
        <v>17686190</v>
      </c>
      <c r="T231" s="455">
        <v>327000</v>
      </c>
      <c r="U231" s="455">
        <v>388000</v>
      </c>
      <c r="V231" s="41">
        <v>2414000</v>
      </c>
      <c r="W231" s="672">
        <v>8836915.6612485014</v>
      </c>
      <c r="X231" s="455"/>
      <c r="Y231" s="673"/>
      <c r="Z231" s="602"/>
      <c r="AA231" s="466">
        <f t="shared" si="28"/>
        <v>14579000</v>
      </c>
      <c r="AB231" s="718">
        <f t="shared" si="24"/>
        <v>0.78537622607860624</v>
      </c>
      <c r="AC231" s="718">
        <f t="shared" si="25"/>
        <v>2.6613622333493382E-2</v>
      </c>
      <c r="AD231" s="718">
        <f t="shared" si="26"/>
        <v>1.8719213066124507E-2</v>
      </c>
      <c r="AE231" s="718">
        <f t="shared" si="27"/>
        <v>6.3432791874727592E-4</v>
      </c>
      <c r="AF231" s="721">
        <f t="shared" si="29"/>
        <v>2.3834708060351893E-2</v>
      </c>
    </row>
    <row r="232" spans="1:32">
      <c r="A232" s="103" t="s">
        <v>575</v>
      </c>
      <c r="B232" s="40" t="s">
        <v>576</v>
      </c>
      <c r="C232" s="40" t="s">
        <v>1391</v>
      </c>
      <c r="D232" s="40" t="s">
        <v>43</v>
      </c>
      <c r="E232" s="40" t="s">
        <v>44</v>
      </c>
      <c r="F232" s="40" t="s">
        <v>1348</v>
      </c>
      <c r="G232" s="40" t="s">
        <v>58</v>
      </c>
      <c r="H232" s="40" t="s">
        <v>62</v>
      </c>
      <c r="I232" s="40" t="s">
        <v>46</v>
      </c>
      <c r="J232" s="455">
        <v>750369284</v>
      </c>
      <c r="K232" s="444">
        <v>1.7500000000000002E-2</v>
      </c>
      <c r="L232" s="444"/>
      <c r="M232" s="444"/>
      <c r="N232" s="444">
        <v>7.5000000000000002E-4</v>
      </c>
      <c r="O232" s="42">
        <v>9.025E-3</v>
      </c>
      <c r="P232" s="444">
        <v>9.7750000000000007E-3</v>
      </c>
      <c r="Q232" s="466">
        <v>17740172.653352898</v>
      </c>
      <c r="R232" s="455">
        <v>15210801.636813467</v>
      </c>
      <c r="S232" s="673"/>
      <c r="T232" s="455">
        <v>434629.11672341987</v>
      </c>
      <c r="U232" s="455">
        <v>544686.46168643713</v>
      </c>
      <c r="V232" s="41">
        <v>693458.66914750682</v>
      </c>
      <c r="W232" s="672">
        <v>2935093.8736572908</v>
      </c>
      <c r="X232" s="455"/>
      <c r="Y232" s="673"/>
      <c r="Z232" s="456">
        <v>1.6172276180822227E-4</v>
      </c>
      <c r="AA232" s="466">
        <f t="shared" si="28"/>
        <v>16883575.884370834</v>
      </c>
      <c r="AB232" s="456">
        <f t="shared" si="24"/>
        <v>0.9009229881742139</v>
      </c>
      <c r="AC232" s="456">
        <f t="shared" si="25"/>
        <v>3.2261321026824344E-2</v>
      </c>
      <c r="AD232" s="456">
        <f t="shared" si="26"/>
        <v>2.027108779790281E-2</v>
      </c>
      <c r="AE232" s="456">
        <f t="shared" si="27"/>
        <v>7.2589120223961242E-4</v>
      </c>
      <c r="AF232" s="721">
        <f t="shared" si="29"/>
        <v>2.2662078579105821E-2</v>
      </c>
    </row>
    <row r="233" spans="1:32">
      <c r="A233" s="103" t="s">
        <v>577</v>
      </c>
      <c r="B233" s="40" t="s">
        <v>578</v>
      </c>
      <c r="C233" s="40" t="s">
        <v>1391</v>
      </c>
      <c r="D233" s="40" t="s">
        <v>43</v>
      </c>
      <c r="E233" s="40" t="s">
        <v>44</v>
      </c>
      <c r="F233" s="40" t="s">
        <v>1348</v>
      </c>
      <c r="G233" s="40" t="s">
        <v>58</v>
      </c>
      <c r="H233" s="40" t="s">
        <v>62</v>
      </c>
      <c r="I233" s="40" t="s">
        <v>239</v>
      </c>
      <c r="J233" s="455">
        <v>9841558.8158431388</v>
      </c>
      <c r="K233" s="444">
        <v>1.7500000000000002E-2</v>
      </c>
      <c r="L233" s="444"/>
      <c r="M233" s="444"/>
      <c r="N233" s="444">
        <v>7.5000000000000002E-4</v>
      </c>
      <c r="O233" s="42">
        <v>9.025E-3</v>
      </c>
      <c r="P233" s="444">
        <v>9.7750000000000007E-3</v>
      </c>
      <c r="Q233" s="466">
        <v>246364.95953518513</v>
      </c>
      <c r="R233" s="455">
        <v>211238.56024270519</v>
      </c>
      <c r="S233" s="673"/>
      <c r="T233" s="455">
        <v>6035.8704983708785</v>
      </c>
      <c r="U233" s="455">
        <v>7564.281403280479</v>
      </c>
      <c r="V233" s="41">
        <v>9630.3412769525276</v>
      </c>
      <c r="W233" s="672">
        <v>40760.83686135272</v>
      </c>
      <c r="X233" s="455"/>
      <c r="Y233" s="673"/>
      <c r="Z233" s="456">
        <v>1.6172276180822227E-4</v>
      </c>
      <c r="AA233" s="466">
        <f t="shared" si="28"/>
        <v>234469.05342130907</v>
      </c>
      <c r="AB233" s="456">
        <f t="shared" si="24"/>
        <v>0.90092298817421401</v>
      </c>
      <c r="AC233" s="456">
        <f t="shared" si="25"/>
        <v>3.2261321026824344E-2</v>
      </c>
      <c r="AD233" s="456">
        <f t="shared" si="26"/>
        <v>2.1463933122327035E-2</v>
      </c>
      <c r="AE233" s="456">
        <f t="shared" si="27"/>
        <v>7.6860602520642833E-4</v>
      </c>
      <c r="AF233" s="721">
        <f t="shared" si="29"/>
        <v>2.398610442824262E-2</v>
      </c>
    </row>
    <row r="234" spans="1:32">
      <c r="A234" s="103" t="s">
        <v>599</v>
      </c>
      <c r="B234" s="40" t="s">
        <v>600</v>
      </c>
      <c r="C234" s="40" t="s">
        <v>1391</v>
      </c>
      <c r="D234" s="40" t="s">
        <v>43</v>
      </c>
      <c r="E234" s="40" t="s">
        <v>621</v>
      </c>
      <c r="F234" s="40" t="s">
        <v>884</v>
      </c>
      <c r="G234" s="40" t="s">
        <v>622</v>
      </c>
      <c r="H234" s="40" t="s">
        <v>62</v>
      </c>
      <c r="I234" s="40" t="s">
        <v>46</v>
      </c>
      <c r="J234" s="455">
        <v>218460164</v>
      </c>
      <c r="K234" s="444">
        <v>0.02</v>
      </c>
      <c r="L234" s="444"/>
      <c r="M234" s="444"/>
      <c r="N234" s="444">
        <v>8.0000000000000004E-4</v>
      </c>
      <c r="O234" s="42">
        <v>9.025E-3</v>
      </c>
      <c r="P234" s="444">
        <v>9.8250000000000004E-3</v>
      </c>
      <c r="Q234" s="466">
        <v>5520000</v>
      </c>
      <c r="R234" s="455">
        <v>4510000</v>
      </c>
      <c r="S234" s="673"/>
      <c r="T234" s="455"/>
      <c r="U234" s="455">
        <v>182000</v>
      </c>
      <c r="V234" s="41">
        <v>820000</v>
      </c>
      <c r="W234" s="672">
        <v>8000</v>
      </c>
      <c r="X234" s="455"/>
      <c r="Y234" s="673"/>
      <c r="Z234" s="602"/>
      <c r="AA234" s="466">
        <f t="shared" si="28"/>
        <v>5512000</v>
      </c>
      <c r="AB234" s="718">
        <f t="shared" si="24"/>
        <v>0.81821480406386071</v>
      </c>
      <c r="AC234" s="718">
        <f t="shared" si="25"/>
        <v>3.3018867924528301E-2</v>
      </c>
      <c r="AD234" s="718">
        <f t="shared" si="26"/>
        <v>2.0644496083047893E-2</v>
      </c>
      <c r="AE234" s="718">
        <f t="shared" si="27"/>
        <v>8.3310383306312995E-4</v>
      </c>
      <c r="AF234" s="721">
        <f t="shared" si="29"/>
        <v>2.5231144658483366E-2</v>
      </c>
    </row>
    <row r="235" spans="1:32">
      <c r="A235" s="105" t="s">
        <v>601</v>
      </c>
      <c r="B235" s="450" t="s">
        <v>602</v>
      </c>
      <c r="C235" s="450" t="s">
        <v>1392</v>
      </c>
      <c r="D235" s="450" t="s">
        <v>43</v>
      </c>
      <c r="E235" s="450" t="s">
        <v>44</v>
      </c>
      <c r="F235" s="450" t="s">
        <v>55</v>
      </c>
      <c r="G235" s="450" t="s">
        <v>97</v>
      </c>
      <c r="H235" s="450" t="s">
        <v>45</v>
      </c>
      <c r="I235" s="450" t="s">
        <v>46</v>
      </c>
      <c r="J235" s="449">
        <v>13763918925.5116</v>
      </c>
      <c r="K235" s="52" t="s">
        <v>604</v>
      </c>
      <c r="L235" s="52"/>
      <c r="M235" s="52"/>
      <c r="N235" s="52" t="s">
        <v>204</v>
      </c>
      <c r="O235" s="448"/>
      <c r="P235" s="52" t="s">
        <v>353</v>
      </c>
      <c r="Q235" s="434">
        <v>10273282.75</v>
      </c>
      <c r="R235" s="449"/>
      <c r="S235" s="672"/>
      <c r="T235" s="449"/>
      <c r="U235" s="449">
        <v>5546818</v>
      </c>
      <c r="V235" s="41">
        <v>4556717</v>
      </c>
      <c r="W235" s="672">
        <v>169747.75</v>
      </c>
      <c r="X235" s="449"/>
      <c r="Y235" s="672"/>
      <c r="Z235" s="729">
        <v>1.78E-2</v>
      </c>
      <c r="AA235" s="434">
        <f t="shared" si="28"/>
        <v>10103535</v>
      </c>
      <c r="AB235" s="448">
        <f t="shared" si="24"/>
        <v>0</v>
      </c>
      <c r="AC235" s="448">
        <f t="shared" si="25"/>
        <v>0.54899775177697707</v>
      </c>
      <c r="AD235" s="448">
        <f t="shared" si="26"/>
        <v>0</v>
      </c>
      <c r="AE235" s="448">
        <f t="shared" si="27"/>
        <v>4.0299699744081617E-4</v>
      </c>
      <c r="AF235" s="721">
        <f t="shared" si="29"/>
        <v>1.8534059467705304E-2</v>
      </c>
    </row>
    <row r="236" spans="1:32" ht="25.5">
      <c r="A236" s="105" t="s">
        <v>605</v>
      </c>
      <c r="B236" s="50" t="s">
        <v>606</v>
      </c>
      <c r="C236" s="50" t="s">
        <v>1393</v>
      </c>
      <c r="D236" s="51" t="s">
        <v>43</v>
      </c>
      <c r="E236" s="40" t="s">
        <v>44</v>
      </c>
      <c r="F236" s="51" t="s">
        <v>55</v>
      </c>
      <c r="G236" s="50" t="s">
        <v>58</v>
      </c>
      <c r="H236" s="50" t="s">
        <v>62</v>
      </c>
      <c r="I236" s="40" t="s">
        <v>46</v>
      </c>
      <c r="J236" s="41">
        <v>2402426826.6547947</v>
      </c>
      <c r="K236" s="52">
        <v>1.6E-2</v>
      </c>
      <c r="L236" s="444"/>
      <c r="M236" s="444"/>
      <c r="N236" s="50" t="s">
        <v>609</v>
      </c>
      <c r="O236" s="51"/>
      <c r="P236" s="51"/>
      <c r="Q236" s="466">
        <v>41598507</v>
      </c>
      <c r="R236" s="642">
        <v>38440592</v>
      </c>
      <c r="S236" s="673"/>
      <c r="T236" s="642"/>
      <c r="U236" s="642">
        <v>1246974</v>
      </c>
      <c r="V236" s="41">
        <v>1821321</v>
      </c>
      <c r="W236" s="672">
        <v>89620</v>
      </c>
      <c r="X236" s="455"/>
      <c r="Y236" s="672"/>
      <c r="Z236" s="729">
        <v>4.6561881066665188E-3</v>
      </c>
      <c r="AA236" s="434">
        <f t="shared" si="28"/>
        <v>41508887</v>
      </c>
      <c r="AB236" s="448">
        <f t="shared" si="24"/>
        <v>0.9260810100738186</v>
      </c>
      <c r="AC236" s="448">
        <f t="shared" si="25"/>
        <v>3.0041133119276361E-2</v>
      </c>
      <c r="AD236" s="448">
        <f t="shared" si="26"/>
        <v>1.6000733747019359E-2</v>
      </c>
      <c r="AE236" s="448">
        <f t="shared" si="27"/>
        <v>5.1904765055272087E-4</v>
      </c>
      <c r="AF236" s="721">
        <f t="shared" si="29"/>
        <v>2.1934086663018437E-2</v>
      </c>
    </row>
    <row r="237" spans="1:32" ht="25.5">
      <c r="A237" s="105" t="s">
        <v>612</v>
      </c>
      <c r="B237" s="50" t="s">
        <v>613</v>
      </c>
      <c r="C237" s="50" t="s">
        <v>1393</v>
      </c>
      <c r="D237" s="51" t="s">
        <v>43</v>
      </c>
      <c r="E237" s="40" t="s">
        <v>44</v>
      </c>
      <c r="F237" s="51" t="s">
        <v>1349</v>
      </c>
      <c r="G237" s="50" t="s">
        <v>58</v>
      </c>
      <c r="H237" s="50" t="s">
        <v>45</v>
      </c>
      <c r="I237" s="40" t="s">
        <v>46</v>
      </c>
      <c r="J237" s="41">
        <v>1044035910.3808219</v>
      </c>
      <c r="K237" s="52">
        <v>1.7500000000000002E-2</v>
      </c>
      <c r="L237" s="444"/>
      <c r="M237" s="444"/>
      <c r="N237" s="50" t="s">
        <v>609</v>
      </c>
      <c r="O237" s="51"/>
      <c r="P237" s="51"/>
      <c r="Q237" s="466">
        <v>21335616</v>
      </c>
      <c r="R237" s="455">
        <v>18271541</v>
      </c>
      <c r="S237" s="673"/>
      <c r="T237" s="455"/>
      <c r="U237" s="455">
        <v>594577</v>
      </c>
      <c r="V237" s="41">
        <v>1505171</v>
      </c>
      <c r="W237" s="672">
        <v>964327</v>
      </c>
      <c r="X237" s="455"/>
      <c r="Y237" s="672"/>
      <c r="Z237" s="735"/>
      <c r="AA237" s="434">
        <f t="shared" si="28"/>
        <v>20371289</v>
      </c>
      <c r="AB237" s="448">
        <f t="shared" si="24"/>
        <v>0.89692611007580325</v>
      </c>
      <c r="AC237" s="448">
        <f t="shared" si="25"/>
        <v>2.9187009226563917E-2</v>
      </c>
      <c r="AD237" s="448">
        <f t="shared" si="26"/>
        <v>1.7500874077535592E-2</v>
      </c>
      <c r="AE237" s="448">
        <f t="shared" si="27"/>
        <v>5.6949861023757552E-4</v>
      </c>
      <c r="AF237" s="721">
        <f t="shared" si="29"/>
        <v>1.9512057772581193E-2</v>
      </c>
    </row>
    <row r="238" spans="1:32" ht="25.5">
      <c r="A238" s="105" t="s">
        <v>614</v>
      </c>
      <c r="B238" s="50" t="s">
        <v>615</v>
      </c>
      <c r="C238" s="50" t="s">
        <v>1393</v>
      </c>
      <c r="D238" s="51" t="s">
        <v>43</v>
      </c>
      <c r="E238" s="40" t="s">
        <v>44</v>
      </c>
      <c r="F238" s="51" t="s">
        <v>1348</v>
      </c>
      <c r="G238" s="50" t="s">
        <v>48</v>
      </c>
      <c r="H238" s="50" t="s">
        <v>45</v>
      </c>
      <c r="I238" s="40" t="s">
        <v>46</v>
      </c>
      <c r="J238" s="41">
        <v>2024358608.210959</v>
      </c>
      <c r="K238" s="52">
        <v>1.2999999999999999E-2</v>
      </c>
      <c r="L238" s="444"/>
      <c r="M238" s="444"/>
      <c r="N238" s="50" t="s">
        <v>609</v>
      </c>
      <c r="O238" s="51"/>
      <c r="P238" s="51"/>
      <c r="Q238" s="466">
        <v>29304548</v>
      </c>
      <c r="R238" s="455">
        <v>26317653</v>
      </c>
      <c r="S238" s="673"/>
      <c r="T238" s="455"/>
      <c r="U238" s="455">
        <v>1196569</v>
      </c>
      <c r="V238" s="41">
        <v>1694844</v>
      </c>
      <c r="W238" s="672">
        <v>95482</v>
      </c>
      <c r="X238" s="455"/>
      <c r="Y238" s="672"/>
      <c r="Z238" s="735"/>
      <c r="AA238" s="434">
        <f t="shared" si="28"/>
        <v>29209066</v>
      </c>
      <c r="AB238" s="448">
        <f t="shared" si="24"/>
        <v>0.90100974129059797</v>
      </c>
      <c r="AC238" s="448">
        <f t="shared" si="25"/>
        <v>4.0965671411745931E-2</v>
      </c>
      <c r="AD238" s="448">
        <f t="shared" si="26"/>
        <v>1.3000489583838315E-2</v>
      </c>
      <c r="AE238" s="448">
        <f t="shared" si="27"/>
        <v>5.9108549006417206E-4</v>
      </c>
      <c r="AF238" s="721">
        <f t="shared" si="29"/>
        <v>1.4428800253831368E-2</v>
      </c>
    </row>
    <row r="239" spans="1:32" ht="25.5">
      <c r="A239" s="105" t="s">
        <v>616</v>
      </c>
      <c r="B239" s="50" t="s">
        <v>617</v>
      </c>
      <c r="C239" s="50" t="s">
        <v>1393</v>
      </c>
      <c r="D239" s="51" t="s">
        <v>43</v>
      </c>
      <c r="E239" s="40" t="s">
        <v>44</v>
      </c>
      <c r="F239" s="51" t="s">
        <v>1348</v>
      </c>
      <c r="G239" s="50" t="s">
        <v>365</v>
      </c>
      <c r="H239" s="50" t="s">
        <v>45</v>
      </c>
      <c r="I239" s="40" t="s">
        <v>46</v>
      </c>
      <c r="J239" s="41">
        <v>2002094822.3972602</v>
      </c>
      <c r="K239" s="52">
        <v>1.2500000000000001E-2</v>
      </c>
      <c r="L239" s="444"/>
      <c r="M239" s="444"/>
      <c r="N239" s="50" t="s">
        <v>609</v>
      </c>
      <c r="O239" s="51"/>
      <c r="P239" s="51"/>
      <c r="Q239" s="466">
        <v>27617091.539999999</v>
      </c>
      <c r="R239" s="455">
        <v>25027094.079999998</v>
      </c>
      <c r="S239" s="673"/>
      <c r="T239" s="455"/>
      <c r="U239" s="455">
        <v>1135167.98</v>
      </c>
      <c r="V239" s="41">
        <v>1382855.96</v>
      </c>
      <c r="W239" s="672">
        <v>71973.52</v>
      </c>
      <c r="X239" s="455"/>
      <c r="Y239" s="672"/>
      <c r="Z239" s="735"/>
      <c r="AA239" s="434">
        <f t="shared" si="28"/>
        <v>27545118.02</v>
      </c>
      <c r="AB239" s="448">
        <f t="shared" si="24"/>
        <v>0.9085854728169358</v>
      </c>
      <c r="AC239" s="448">
        <f t="shared" si="25"/>
        <v>4.1211222227320848E-2</v>
      </c>
      <c r="AD239" s="448">
        <f t="shared" si="26"/>
        <v>1.2500453924571444E-2</v>
      </c>
      <c r="AE239" s="448">
        <f t="shared" si="27"/>
        <v>5.6699011820068401E-4</v>
      </c>
      <c r="AF239" s="721">
        <f t="shared" si="29"/>
        <v>1.3758148571114199E-2</v>
      </c>
    </row>
    <row r="240" spans="1:32">
      <c r="A240" s="103" t="s">
        <v>1197</v>
      </c>
      <c r="B240" s="40" t="s">
        <v>1198</v>
      </c>
      <c r="C240" s="40" t="s">
        <v>1394</v>
      </c>
      <c r="D240" s="40" t="s">
        <v>43</v>
      </c>
      <c r="E240" s="40" t="s">
        <v>44</v>
      </c>
      <c r="F240" s="40" t="s">
        <v>55</v>
      </c>
      <c r="G240" s="40" t="s">
        <v>58</v>
      </c>
      <c r="H240" s="40" t="s">
        <v>62</v>
      </c>
      <c r="I240" s="40" t="s">
        <v>46</v>
      </c>
      <c r="J240" s="41">
        <v>496427982.42194092</v>
      </c>
      <c r="K240" s="444">
        <v>8.0000000000000002E-3</v>
      </c>
      <c r="L240" s="444"/>
      <c r="M240" s="444"/>
      <c r="N240" s="444">
        <v>1E-3</v>
      </c>
      <c r="O240" s="42">
        <v>1.2999999999999999E-2</v>
      </c>
      <c r="P240" s="444">
        <v>2.1999999999999999E-2</v>
      </c>
      <c r="Q240" s="434">
        <v>11736132</v>
      </c>
      <c r="R240" s="41">
        <v>3845720</v>
      </c>
      <c r="S240" s="672"/>
      <c r="T240" s="41">
        <v>5968193.379825498</v>
      </c>
      <c r="U240" s="41">
        <v>401052</v>
      </c>
      <c r="V240" s="41">
        <v>1464850</v>
      </c>
      <c r="W240" s="672">
        <v>56317</v>
      </c>
      <c r="X240" s="41"/>
      <c r="Y240" s="672"/>
      <c r="Z240" s="734">
        <v>8.9999999999999993E-3</v>
      </c>
      <c r="AA240" s="434">
        <f t="shared" si="28"/>
        <v>11679815.379825499</v>
      </c>
      <c r="AB240" s="42">
        <f t="shared" si="24"/>
        <v>0.32926205380289636</v>
      </c>
      <c r="AC240" s="42">
        <f t="shared" si="25"/>
        <v>3.4337186587104419E-2</v>
      </c>
      <c r="AD240" s="42">
        <f t="shared" si="26"/>
        <v>7.7467832921862068E-3</v>
      </c>
      <c r="AE240" s="42">
        <f t="shared" si="27"/>
        <v>8.078754909088188E-4</v>
      </c>
      <c r="AF240" s="721">
        <f t="shared" si="29"/>
        <v>3.2527713572556419E-2</v>
      </c>
    </row>
    <row r="241" spans="1:32">
      <c r="A241" s="103" t="s">
        <v>1200</v>
      </c>
      <c r="B241" s="40" t="s">
        <v>1201</v>
      </c>
      <c r="C241" s="40" t="s">
        <v>1394</v>
      </c>
      <c r="D241" s="40" t="s">
        <v>43</v>
      </c>
      <c r="E241" s="40" t="s">
        <v>44</v>
      </c>
      <c r="F241" s="40" t="s">
        <v>1348</v>
      </c>
      <c r="G241" s="40" t="s">
        <v>81</v>
      </c>
      <c r="H241" s="40" t="s">
        <v>45</v>
      </c>
      <c r="I241" s="40" t="s">
        <v>46</v>
      </c>
      <c r="J241" s="41">
        <v>15248468356.318548</v>
      </c>
      <c r="K241" s="444">
        <v>8.0000000000000002E-3</v>
      </c>
      <c r="L241" s="444"/>
      <c r="M241" s="444"/>
      <c r="N241" s="444">
        <v>1E-3</v>
      </c>
      <c r="O241" s="42">
        <v>1.2999999999999999E-2</v>
      </c>
      <c r="P241" s="444">
        <v>2.1999999999999999E-2</v>
      </c>
      <c r="Q241" s="434">
        <v>185222718</v>
      </c>
      <c r="R241" s="41">
        <v>61048467</v>
      </c>
      <c r="S241" s="672"/>
      <c r="T241" s="41">
        <v>106194179.52279112</v>
      </c>
      <c r="U241" s="41">
        <v>12209691</v>
      </c>
      <c r="V241" s="41">
        <v>5711110</v>
      </c>
      <c r="W241" s="672">
        <v>59270</v>
      </c>
      <c r="X241" s="41"/>
      <c r="Y241" s="672"/>
      <c r="Z241" s="734"/>
      <c r="AA241" s="434">
        <f t="shared" si="28"/>
        <v>185163447.52279112</v>
      </c>
      <c r="AB241" s="42">
        <f t="shared" si="24"/>
        <v>0.3297004231490438</v>
      </c>
      <c r="AC241" s="42">
        <f t="shared" si="25"/>
        <v>6.5940071668287289E-2</v>
      </c>
      <c r="AD241" s="42">
        <f t="shared" si="26"/>
        <v>4.0035802661257574E-3</v>
      </c>
      <c r="AE241" s="42">
        <f t="shared" si="27"/>
        <v>8.0071589583229443E-4</v>
      </c>
      <c r="AF241" s="721">
        <f t="shared" si="29"/>
        <v>1.2143085009981638E-2</v>
      </c>
    </row>
    <row r="242" spans="1:32">
      <c r="A242" s="103" t="s">
        <v>1202</v>
      </c>
      <c r="B242" s="40" t="s">
        <v>1203</v>
      </c>
      <c r="C242" s="40" t="s">
        <v>1394</v>
      </c>
      <c r="D242" s="40" t="s">
        <v>43</v>
      </c>
      <c r="E242" s="40" t="s">
        <v>44</v>
      </c>
      <c r="F242" s="40" t="s">
        <v>55</v>
      </c>
      <c r="G242" s="40" t="s">
        <v>58</v>
      </c>
      <c r="H242" s="40" t="s">
        <v>62</v>
      </c>
      <c r="I242" s="40" t="s">
        <v>46</v>
      </c>
      <c r="J242" s="41">
        <v>2750172821.6061945</v>
      </c>
      <c r="K242" s="444">
        <v>8.0000000000000002E-3</v>
      </c>
      <c r="L242" s="444"/>
      <c r="M242" s="444"/>
      <c r="N242" s="444">
        <v>1E-3</v>
      </c>
      <c r="O242" s="42">
        <v>1.2999999999999999E-2</v>
      </c>
      <c r="P242" s="444">
        <v>2.1999999999999999E-2</v>
      </c>
      <c r="Q242" s="434">
        <v>67791176</v>
      </c>
      <c r="R242" s="41">
        <v>21041191</v>
      </c>
      <c r="S242" s="672"/>
      <c r="T242" s="41">
        <v>33559256.767078578</v>
      </c>
      <c r="U242" s="41">
        <v>2217174</v>
      </c>
      <c r="V242" s="41">
        <v>2481150</v>
      </c>
      <c r="W242" s="672">
        <v>57119</v>
      </c>
      <c r="X242" s="41">
        <v>8435285.0399999991</v>
      </c>
      <c r="Y242" s="672"/>
      <c r="Z242" s="734">
        <v>1.2699999999999999E-2</v>
      </c>
      <c r="AA242" s="434">
        <f t="shared" ref="AA242:AA273" si="30">+R242+T242+U242+V242+X242</f>
        <v>67734056.80707857</v>
      </c>
      <c r="AB242" s="42">
        <f t="shared" si="24"/>
        <v>0.31064418686643736</v>
      </c>
      <c r="AC242" s="42">
        <f t="shared" si="25"/>
        <v>3.2733518476753834E-2</v>
      </c>
      <c r="AD242" s="42">
        <f t="shared" si="26"/>
        <v>7.6508613693997704E-3</v>
      </c>
      <c r="AE242" s="42">
        <f t="shared" si="27"/>
        <v>8.0619442624885477E-4</v>
      </c>
      <c r="AF242" s="721">
        <f t="shared" ref="AF242:AF273" si="31">+(AA242/J242)+Z242</f>
        <v>3.7329018320208532E-2</v>
      </c>
    </row>
    <row r="243" spans="1:32">
      <c r="A243" s="103" t="s">
        <v>1204</v>
      </c>
      <c r="B243" s="40" t="s">
        <v>1205</v>
      </c>
      <c r="C243" s="40" t="s">
        <v>1394</v>
      </c>
      <c r="D243" s="40" t="s">
        <v>553</v>
      </c>
      <c r="E243" s="40" t="s">
        <v>621</v>
      </c>
      <c r="F243" s="40" t="s">
        <v>884</v>
      </c>
      <c r="G243" s="40" t="s">
        <v>622</v>
      </c>
      <c r="H243" s="40" t="s">
        <v>45</v>
      </c>
      <c r="I243" s="40" t="s">
        <v>46</v>
      </c>
      <c r="J243" s="449">
        <v>322346384.45816731</v>
      </c>
      <c r="K243" s="444">
        <v>0.05</v>
      </c>
      <c r="L243" s="444"/>
      <c r="M243" s="444"/>
      <c r="N243" s="444">
        <v>1E-3</v>
      </c>
      <c r="O243" s="42">
        <v>6.7000000000000004E-2</v>
      </c>
      <c r="P243" s="444">
        <v>0.11800000000000001</v>
      </c>
      <c r="Q243" s="434">
        <v>1000008</v>
      </c>
      <c r="R243" s="41">
        <v>1000008</v>
      </c>
      <c r="S243" s="672"/>
      <c r="T243" s="41"/>
      <c r="U243" s="41">
        <v>0</v>
      </c>
      <c r="V243" s="41">
        <v>0</v>
      </c>
      <c r="W243" s="672">
        <v>0</v>
      </c>
      <c r="X243" s="41"/>
      <c r="Y243" s="672"/>
      <c r="Z243" s="734"/>
      <c r="AA243" s="434">
        <f t="shared" si="30"/>
        <v>1000008</v>
      </c>
      <c r="AB243" s="42">
        <f t="shared" si="24"/>
        <v>1</v>
      </c>
      <c r="AC243" s="42">
        <f t="shared" si="25"/>
        <v>0</v>
      </c>
      <c r="AD243" s="42">
        <f t="shared" si="26"/>
        <v>3.102277699440977E-3</v>
      </c>
      <c r="AE243" s="42">
        <f t="shared" si="27"/>
        <v>0</v>
      </c>
      <c r="AF243" s="721">
        <f t="shared" si="31"/>
        <v>3.102277699440977E-3</v>
      </c>
    </row>
    <row r="244" spans="1:32">
      <c r="A244" s="103" t="s">
        <v>1206</v>
      </c>
      <c r="B244" s="40" t="s">
        <v>1207</v>
      </c>
      <c r="C244" s="40" t="s">
        <v>1394</v>
      </c>
      <c r="D244" s="40" t="s">
        <v>43</v>
      </c>
      <c r="E244" s="40" t="s">
        <v>621</v>
      </c>
      <c r="F244" s="40" t="s">
        <v>884</v>
      </c>
      <c r="G244" s="40" t="s">
        <v>622</v>
      </c>
      <c r="H244" s="40" t="s">
        <v>62</v>
      </c>
      <c r="I244" s="40" t="s">
        <v>239</v>
      </c>
      <c r="J244" s="41">
        <v>3714509.7762264148</v>
      </c>
      <c r="K244" s="444">
        <v>4.8000000000000001E-2</v>
      </c>
      <c r="L244" s="444"/>
      <c r="M244" s="444"/>
      <c r="N244" s="444">
        <v>1E-3</v>
      </c>
      <c r="O244" s="42">
        <v>4.4499999999999998E-2</v>
      </c>
      <c r="P244" s="444">
        <v>9.35E-2</v>
      </c>
      <c r="Q244" s="434">
        <v>16759</v>
      </c>
      <c r="R244" s="41">
        <v>8288</v>
      </c>
      <c r="S244" s="672"/>
      <c r="T244" s="41"/>
      <c r="U244" s="41">
        <v>1612.41</v>
      </c>
      <c r="V244" s="41">
        <v>6858</v>
      </c>
      <c r="W244" s="672">
        <v>0</v>
      </c>
      <c r="X244" s="41"/>
      <c r="Y244" s="672"/>
      <c r="Z244" s="734"/>
      <c r="AA244" s="434">
        <f t="shared" si="30"/>
        <v>16758.41</v>
      </c>
      <c r="AB244" s="42">
        <f t="shared" si="24"/>
        <v>0.49455765791623429</v>
      </c>
      <c r="AC244" s="42">
        <f t="shared" si="25"/>
        <v>9.6214975048348861E-2</v>
      </c>
      <c r="AD244" s="42">
        <f t="shared" si="26"/>
        <v>2.2312500166360612E-3</v>
      </c>
      <c r="AE244" s="42">
        <f t="shared" si="27"/>
        <v>4.3408419876015341E-4</v>
      </c>
      <c r="AF244" s="721">
        <f t="shared" si="31"/>
        <v>4.5116074555132642E-3</v>
      </c>
    </row>
    <row r="245" spans="1:32">
      <c r="A245" s="103" t="s">
        <v>1208</v>
      </c>
      <c r="B245" s="40" t="s">
        <v>1209</v>
      </c>
      <c r="C245" s="40" t="s">
        <v>1394</v>
      </c>
      <c r="D245" s="40" t="s">
        <v>43</v>
      </c>
      <c r="E245" s="40" t="s">
        <v>44</v>
      </c>
      <c r="F245" s="40" t="s">
        <v>884</v>
      </c>
      <c r="G245" s="40" t="s">
        <v>622</v>
      </c>
      <c r="H245" s="40" t="s">
        <v>62</v>
      </c>
      <c r="I245" s="40" t="s">
        <v>69</v>
      </c>
      <c r="J245" s="41">
        <v>5959511.5866603758</v>
      </c>
      <c r="K245" s="444">
        <v>4.8000000000000001E-2</v>
      </c>
      <c r="L245" s="444"/>
      <c r="M245" s="444"/>
      <c r="N245" s="444">
        <v>1E-3</v>
      </c>
      <c r="O245" s="42">
        <v>4.4499999999999998E-2</v>
      </c>
      <c r="P245" s="444">
        <v>9.35E-2</v>
      </c>
      <c r="Q245" s="434">
        <v>19230</v>
      </c>
      <c r="R245" s="41">
        <v>12126</v>
      </c>
      <c r="S245" s="672"/>
      <c r="T245" s="41"/>
      <c r="U245" s="41">
        <v>2341.6799999999998</v>
      </c>
      <c r="V245" s="41">
        <v>4762.5</v>
      </c>
      <c r="W245" s="672">
        <v>0</v>
      </c>
      <c r="X245" s="41"/>
      <c r="Y245" s="672"/>
      <c r="Z245" s="734"/>
      <c r="AA245" s="434">
        <f t="shared" si="30"/>
        <v>19230.18</v>
      </c>
      <c r="AB245" s="42">
        <f t="shared" si="24"/>
        <v>0.63057132070526645</v>
      </c>
      <c r="AC245" s="42">
        <f t="shared" si="25"/>
        <v>0.12177109106623026</v>
      </c>
      <c r="AD245" s="42">
        <f t="shared" si="26"/>
        <v>2.0347305015972349E-3</v>
      </c>
      <c r="AE245" s="42">
        <f t="shared" si="27"/>
        <v>3.9293152902690194E-4</v>
      </c>
      <c r="AF245" s="721">
        <f t="shared" si="31"/>
        <v>3.2268047004127593E-3</v>
      </c>
    </row>
    <row r="246" spans="1:32">
      <c r="A246" s="103" t="s">
        <v>1210</v>
      </c>
      <c r="B246" s="40" t="s">
        <v>1211</v>
      </c>
      <c r="C246" s="40" t="s">
        <v>1394</v>
      </c>
      <c r="D246" s="40" t="s">
        <v>43</v>
      </c>
      <c r="E246" s="40" t="s">
        <v>44</v>
      </c>
      <c r="F246" s="40" t="s">
        <v>884</v>
      </c>
      <c r="G246" s="40" t="s">
        <v>622</v>
      </c>
      <c r="H246" s="40" t="s">
        <v>62</v>
      </c>
      <c r="I246" s="40" t="s">
        <v>69</v>
      </c>
      <c r="J246" s="41">
        <v>5720957.4474576265</v>
      </c>
      <c r="K246" s="444">
        <v>4.8000000000000001E-2</v>
      </c>
      <c r="L246" s="444"/>
      <c r="M246" s="444"/>
      <c r="N246" s="444">
        <v>1E-3</v>
      </c>
      <c r="O246" s="42">
        <v>4.4499999999999998E-2</v>
      </c>
      <c r="P246" s="444">
        <v>9.35E-2</v>
      </c>
      <c r="Q246" s="434">
        <v>19795</v>
      </c>
      <c r="R246" s="41">
        <v>12586</v>
      </c>
      <c r="S246" s="672"/>
      <c r="T246" s="41"/>
      <c r="U246" s="41">
        <v>2446</v>
      </c>
      <c r="V246" s="41">
        <v>4762.5</v>
      </c>
      <c r="W246" s="672">
        <v>0</v>
      </c>
      <c r="X246" s="41"/>
      <c r="Y246" s="672"/>
      <c r="Z246" s="734"/>
      <c r="AA246" s="434">
        <f t="shared" si="30"/>
        <v>19794.5</v>
      </c>
      <c r="AB246" s="42">
        <f t="shared" si="24"/>
        <v>0.63583318598600624</v>
      </c>
      <c r="AC246" s="42">
        <f t="shared" si="25"/>
        <v>0.12356967844603299</v>
      </c>
      <c r="AD246" s="42">
        <f t="shared" si="26"/>
        <v>2.1999814044401213E-3</v>
      </c>
      <c r="AE246" s="42">
        <f t="shared" si="27"/>
        <v>4.2755081163678188E-4</v>
      </c>
      <c r="AF246" s="721">
        <f t="shared" si="31"/>
        <v>3.4599977681701874E-3</v>
      </c>
    </row>
    <row r="247" spans="1:32">
      <c r="A247" s="103" t="s">
        <v>1212</v>
      </c>
      <c r="B247" s="40" t="s">
        <v>1213</v>
      </c>
      <c r="C247" s="40" t="s">
        <v>1394</v>
      </c>
      <c r="D247" s="40" t="s">
        <v>43</v>
      </c>
      <c r="E247" s="40" t="s">
        <v>44</v>
      </c>
      <c r="F247" s="40" t="s">
        <v>884</v>
      </c>
      <c r="G247" s="40" t="s">
        <v>622</v>
      </c>
      <c r="H247" s="40" t="s">
        <v>62</v>
      </c>
      <c r="I247" s="40" t="s">
        <v>69</v>
      </c>
      <c r="J247" s="41">
        <v>4404154.52457627</v>
      </c>
      <c r="K247" s="444">
        <v>4.8000000000000001E-2</v>
      </c>
      <c r="L247" s="444"/>
      <c r="M247" s="444"/>
      <c r="N247" s="444">
        <v>1E-3</v>
      </c>
      <c r="O247" s="42">
        <v>4.4499999999999998E-2</v>
      </c>
      <c r="P247" s="444">
        <v>9.35E-2</v>
      </c>
      <c r="Q247" s="434">
        <v>15972</v>
      </c>
      <c r="R247" s="41">
        <v>9384</v>
      </c>
      <c r="S247" s="672"/>
      <c r="T247" s="41"/>
      <c r="U247" s="41">
        <v>1825.29</v>
      </c>
      <c r="V247" s="41">
        <v>4762.5</v>
      </c>
      <c r="W247" s="672">
        <v>0</v>
      </c>
      <c r="X247" s="41"/>
      <c r="Y247" s="672"/>
      <c r="Z247" s="734"/>
      <c r="AA247" s="434">
        <f t="shared" si="30"/>
        <v>15971.79</v>
      </c>
      <c r="AB247" s="42">
        <f t="shared" si="24"/>
        <v>0.58753589923233396</v>
      </c>
      <c r="AC247" s="42">
        <f t="shared" si="25"/>
        <v>0.11428211866046321</v>
      </c>
      <c r="AD247" s="42">
        <f t="shared" si="26"/>
        <v>2.1307154296323987E-3</v>
      </c>
      <c r="AE247" s="42">
        <f t="shared" si="27"/>
        <v>4.1444731101382366E-4</v>
      </c>
      <c r="AF247" s="721">
        <f t="shared" si="31"/>
        <v>3.6265280681850439E-3</v>
      </c>
    </row>
    <row r="248" spans="1:32">
      <c r="A248" s="103" t="s">
        <v>1214</v>
      </c>
      <c r="B248" s="40" t="s">
        <v>1215</v>
      </c>
      <c r="C248" s="40" t="s">
        <v>1394</v>
      </c>
      <c r="D248" s="40" t="s">
        <v>43</v>
      </c>
      <c r="E248" s="40" t="s">
        <v>44</v>
      </c>
      <c r="F248" s="40" t="s">
        <v>55</v>
      </c>
      <c r="G248" s="40" t="s">
        <v>88</v>
      </c>
      <c r="H248" s="40" t="s">
        <v>62</v>
      </c>
      <c r="I248" s="40" t="s">
        <v>69</v>
      </c>
      <c r="J248" s="41">
        <v>12029213.705406502</v>
      </c>
      <c r="K248" s="444">
        <v>3.0000000000000001E-3</v>
      </c>
      <c r="L248" s="444"/>
      <c r="M248" s="444"/>
      <c r="N248" s="444">
        <v>1E-3</v>
      </c>
      <c r="O248" s="42">
        <v>6.0000000000000001E-3</v>
      </c>
      <c r="P248" s="444">
        <v>0.01</v>
      </c>
      <c r="Q248" s="434">
        <v>78100</v>
      </c>
      <c r="R248" s="41">
        <v>29193</v>
      </c>
      <c r="S248" s="672"/>
      <c r="T248" s="41">
        <v>40755.01</v>
      </c>
      <c r="U248" s="41">
        <v>0</v>
      </c>
      <c r="V248" s="41">
        <v>8083.05</v>
      </c>
      <c r="W248" s="672">
        <v>69.25</v>
      </c>
      <c r="X248" s="41"/>
      <c r="Y248" s="672"/>
      <c r="Z248" s="734">
        <v>3.8E-3</v>
      </c>
      <c r="AA248" s="434">
        <f t="shared" si="30"/>
        <v>78031.060000000012</v>
      </c>
      <c r="AB248" s="42">
        <f t="shared" si="24"/>
        <v>0.37412025416545663</v>
      </c>
      <c r="AC248" s="42">
        <f t="shared" si="25"/>
        <v>0</v>
      </c>
      <c r="AD248" s="42">
        <f t="shared" si="26"/>
        <v>2.4268419129406002E-3</v>
      </c>
      <c r="AE248" s="42">
        <f t="shared" si="27"/>
        <v>0</v>
      </c>
      <c r="AF248" s="721">
        <f t="shared" si="31"/>
        <v>1.0286796386777063E-2</v>
      </c>
    </row>
    <row r="249" spans="1:32">
      <c r="A249" s="103" t="s">
        <v>1216</v>
      </c>
      <c r="B249" s="40" t="s">
        <v>1217</v>
      </c>
      <c r="C249" s="40" t="s">
        <v>1394</v>
      </c>
      <c r="D249" s="40" t="s">
        <v>43</v>
      </c>
      <c r="E249" s="40" t="s">
        <v>44</v>
      </c>
      <c r="F249" s="40" t="s">
        <v>884</v>
      </c>
      <c r="G249" s="40" t="s">
        <v>622</v>
      </c>
      <c r="H249" s="40" t="s">
        <v>62</v>
      </c>
      <c r="I249" s="40" t="s">
        <v>69</v>
      </c>
      <c r="J249" s="41">
        <v>7513252.9588135593</v>
      </c>
      <c r="K249" s="444">
        <v>4.8000000000000001E-2</v>
      </c>
      <c r="L249" s="444"/>
      <c r="M249" s="444"/>
      <c r="N249" s="444">
        <v>1E-3</v>
      </c>
      <c r="O249" s="42">
        <v>4.4499999999999998E-2</v>
      </c>
      <c r="P249" s="444">
        <v>9.35E-2</v>
      </c>
      <c r="Q249" s="434">
        <v>23687</v>
      </c>
      <c r="R249" s="41">
        <v>15847</v>
      </c>
      <c r="S249" s="672"/>
      <c r="T249" s="41"/>
      <c r="U249" s="41">
        <v>3078.2699999999995</v>
      </c>
      <c r="V249" s="41">
        <v>4762.5</v>
      </c>
      <c r="W249" s="672">
        <v>0</v>
      </c>
      <c r="X249" s="41"/>
      <c r="Y249" s="672"/>
      <c r="Z249" s="734"/>
      <c r="AA249" s="434">
        <f t="shared" si="30"/>
        <v>23687.77</v>
      </c>
      <c r="AB249" s="42">
        <f t="shared" si="24"/>
        <v>0.66899501303837383</v>
      </c>
      <c r="AC249" s="42">
        <f t="shared" si="25"/>
        <v>0.12995186967789704</v>
      </c>
      <c r="AD249" s="42">
        <f t="shared" si="26"/>
        <v>2.1092062368817739E-3</v>
      </c>
      <c r="AE249" s="42">
        <f t="shared" si="27"/>
        <v>4.0971201380741193E-4</v>
      </c>
      <c r="AF249" s="721">
        <f t="shared" si="31"/>
        <v>3.1527981461362386E-3</v>
      </c>
    </row>
    <row r="250" spans="1:32">
      <c r="A250" s="103" t="s">
        <v>1218</v>
      </c>
      <c r="B250" s="40" t="s">
        <v>1219</v>
      </c>
      <c r="C250" s="40" t="s">
        <v>1394</v>
      </c>
      <c r="D250" s="40" t="s">
        <v>43</v>
      </c>
      <c r="E250" s="40" t="s">
        <v>44</v>
      </c>
      <c r="F250" s="40" t="s">
        <v>55</v>
      </c>
      <c r="G250" s="40" t="s">
        <v>58</v>
      </c>
      <c r="H250" s="40" t="s">
        <v>62</v>
      </c>
      <c r="I250" s="40" t="s">
        <v>46</v>
      </c>
      <c r="J250" s="41">
        <v>1022785229.1365639</v>
      </c>
      <c r="K250" s="444">
        <v>8.0000000000000002E-3</v>
      </c>
      <c r="L250" s="444"/>
      <c r="M250" s="444"/>
      <c r="N250" s="444">
        <v>1E-3</v>
      </c>
      <c r="O250" s="42">
        <v>1.2999999999999999E-2</v>
      </c>
      <c r="P250" s="444">
        <v>2.1999999999999999E-2</v>
      </c>
      <c r="Q250" s="434">
        <v>23004306</v>
      </c>
      <c r="R250" s="41">
        <v>7839309</v>
      </c>
      <c r="S250" s="672"/>
      <c r="T250" s="41">
        <v>12496987.343657305</v>
      </c>
      <c r="U250" s="41">
        <v>824630</v>
      </c>
      <c r="V250" s="41">
        <v>1249650</v>
      </c>
      <c r="W250" s="672">
        <v>17010</v>
      </c>
      <c r="X250" s="41">
        <v>576719.43000000005</v>
      </c>
      <c r="Y250" s="672"/>
      <c r="Z250" s="734">
        <v>8.0999999999999996E-3</v>
      </c>
      <c r="AA250" s="434">
        <f t="shared" si="30"/>
        <v>22987295.773657307</v>
      </c>
      <c r="AB250" s="42">
        <f t="shared" si="24"/>
        <v>0.34102789110947068</v>
      </c>
      <c r="AC250" s="42">
        <f t="shared" si="25"/>
        <v>3.5873293149383804E-2</v>
      </c>
      <c r="AD250" s="42">
        <f t="shared" si="26"/>
        <v>7.66466778819044E-3</v>
      </c>
      <c r="AE250" s="42">
        <f t="shared" si="27"/>
        <v>8.0625919939824838E-4</v>
      </c>
      <c r="AF250" s="721">
        <f t="shared" si="31"/>
        <v>3.0575193343438486E-2</v>
      </c>
    </row>
    <row r="251" spans="1:32">
      <c r="A251" s="103" t="s">
        <v>1220</v>
      </c>
      <c r="B251" s="40" t="s">
        <v>1221</v>
      </c>
      <c r="C251" s="40" t="s">
        <v>1394</v>
      </c>
      <c r="D251" s="40" t="s">
        <v>43</v>
      </c>
      <c r="E251" s="40" t="s">
        <v>44</v>
      </c>
      <c r="F251" s="40" t="s">
        <v>884</v>
      </c>
      <c r="G251" s="40" t="s">
        <v>622</v>
      </c>
      <c r="H251" s="40" t="s">
        <v>45</v>
      </c>
      <c r="I251" s="40" t="s">
        <v>46</v>
      </c>
      <c r="J251" s="41">
        <v>27297726799.271187</v>
      </c>
      <c r="K251" s="444">
        <v>4.8000000000000001E-2</v>
      </c>
      <c r="L251" s="444"/>
      <c r="M251" s="444"/>
      <c r="N251" s="444">
        <v>1E-3</v>
      </c>
      <c r="O251" s="42">
        <v>4.4499999999999998E-2</v>
      </c>
      <c r="P251" s="444">
        <v>9.35E-2</v>
      </c>
      <c r="Q251" s="434">
        <v>68608584</v>
      </c>
      <c r="R251" s="41">
        <v>56395458</v>
      </c>
      <c r="S251" s="672"/>
      <c r="T251" s="41"/>
      <c r="U251" s="41">
        <v>10945412</v>
      </c>
      <c r="V251" s="41">
        <v>1267714</v>
      </c>
      <c r="W251" s="672">
        <v>0</v>
      </c>
      <c r="X251" s="41"/>
      <c r="Y251" s="672"/>
      <c r="Z251" s="734"/>
      <c r="AA251" s="434">
        <f t="shared" si="30"/>
        <v>68608584</v>
      </c>
      <c r="AB251" s="42">
        <f t="shared" si="24"/>
        <v>0.82198836810274356</v>
      </c>
      <c r="AC251" s="42">
        <f t="shared" si="25"/>
        <v>0.1595341480885249</v>
      </c>
      <c r="AD251" s="42">
        <f t="shared" si="26"/>
        <v>2.065939717790189E-3</v>
      </c>
      <c r="AE251" s="42">
        <f t="shared" si="27"/>
        <v>4.0096422975015734E-4</v>
      </c>
      <c r="AF251" s="721">
        <f t="shared" si="31"/>
        <v>2.5133442247591018E-3</v>
      </c>
    </row>
    <row r="252" spans="1:32">
      <c r="A252" s="103" t="s">
        <v>1222</v>
      </c>
      <c r="B252" s="40" t="s">
        <v>1223</v>
      </c>
      <c r="C252" s="40" t="s">
        <v>1394</v>
      </c>
      <c r="D252" s="40" t="s">
        <v>43</v>
      </c>
      <c r="E252" s="40" t="s">
        <v>44</v>
      </c>
      <c r="F252" s="40" t="s">
        <v>884</v>
      </c>
      <c r="G252" s="40" t="s">
        <v>622</v>
      </c>
      <c r="H252" s="40" t="s">
        <v>45</v>
      </c>
      <c r="I252" s="40" t="s">
        <v>46</v>
      </c>
      <c r="J252" s="41">
        <v>5202377559.7966099</v>
      </c>
      <c r="K252" s="444">
        <v>4.8000000000000001E-2</v>
      </c>
      <c r="L252" s="444"/>
      <c r="M252" s="444"/>
      <c r="N252" s="444">
        <v>1E-3</v>
      </c>
      <c r="O252" s="42">
        <v>4.4499999999999998E-2</v>
      </c>
      <c r="P252" s="444">
        <v>9.35E-2</v>
      </c>
      <c r="Q252" s="434">
        <v>13867338</v>
      </c>
      <c r="R252" s="41">
        <v>10550531</v>
      </c>
      <c r="S252" s="672"/>
      <c r="T252" s="41"/>
      <c r="U252" s="41">
        <v>2049093</v>
      </c>
      <c r="V252" s="41">
        <v>1267714</v>
      </c>
      <c r="W252" s="672">
        <v>0</v>
      </c>
      <c r="X252" s="41"/>
      <c r="Y252" s="672"/>
      <c r="Z252" s="734"/>
      <c r="AA252" s="434">
        <f t="shared" si="30"/>
        <v>13867338</v>
      </c>
      <c r="AB252" s="42">
        <f t="shared" si="24"/>
        <v>0.76081876709142016</v>
      </c>
      <c r="AC252" s="42">
        <f t="shared" si="25"/>
        <v>0.14776397604212141</v>
      </c>
      <c r="AD252" s="42">
        <f t="shared" si="26"/>
        <v>2.0280210113032397E-3</v>
      </c>
      <c r="AE252" s="42">
        <f t="shared" si="27"/>
        <v>3.9387625685516575E-4</v>
      </c>
      <c r="AF252" s="721">
        <f t="shared" si="31"/>
        <v>2.665577006014564E-3</v>
      </c>
    </row>
    <row r="253" spans="1:32">
      <c r="A253" s="103" t="s">
        <v>1224</v>
      </c>
      <c r="B253" s="40" t="s">
        <v>1225</v>
      </c>
      <c r="C253" s="40" t="s">
        <v>1394</v>
      </c>
      <c r="D253" s="40" t="s">
        <v>43</v>
      </c>
      <c r="E253" s="40" t="s">
        <v>44</v>
      </c>
      <c r="F253" s="40" t="s">
        <v>884</v>
      </c>
      <c r="G253" s="40" t="s">
        <v>622</v>
      </c>
      <c r="H253" s="40" t="s">
        <v>45</v>
      </c>
      <c r="I253" s="40" t="s">
        <v>46</v>
      </c>
      <c r="J253" s="41">
        <v>5098827371.3962269</v>
      </c>
      <c r="K253" s="444">
        <v>4.8000000000000001E-2</v>
      </c>
      <c r="L253" s="444"/>
      <c r="M253" s="444"/>
      <c r="N253" s="444">
        <v>1E-3</v>
      </c>
      <c r="O253" s="42">
        <v>4.4499999999999998E-2</v>
      </c>
      <c r="P253" s="444">
        <v>9.35E-2</v>
      </c>
      <c r="Q253" s="434">
        <v>13600356</v>
      </c>
      <c r="R253" s="41">
        <v>10323552</v>
      </c>
      <c r="S253" s="672"/>
      <c r="T253" s="41"/>
      <c r="U253" s="41">
        <v>2009090</v>
      </c>
      <c r="V253" s="41">
        <v>1267714</v>
      </c>
      <c r="W253" s="672">
        <v>0</v>
      </c>
      <c r="X253" s="41"/>
      <c r="Y253" s="672"/>
      <c r="Z253" s="734"/>
      <c r="AA253" s="434">
        <f t="shared" si="30"/>
        <v>13600356</v>
      </c>
      <c r="AB253" s="42">
        <f t="shared" si="24"/>
        <v>0.75906483624399246</v>
      </c>
      <c r="AC253" s="42">
        <f t="shared" si="25"/>
        <v>0.14772333900671425</v>
      </c>
      <c r="AD253" s="42">
        <f t="shared" si="26"/>
        <v>2.0246914139344695E-3</v>
      </c>
      <c r="AE253" s="42">
        <f t="shared" si="27"/>
        <v>3.9402981384910958E-4</v>
      </c>
      <c r="AF253" s="721">
        <f t="shared" si="31"/>
        <v>2.6673497667907462E-3</v>
      </c>
    </row>
    <row r="254" spans="1:32">
      <c r="A254" s="103" t="s">
        <v>1226</v>
      </c>
      <c r="B254" s="40" t="s">
        <v>1227</v>
      </c>
      <c r="C254" s="40" t="s">
        <v>1394</v>
      </c>
      <c r="D254" s="40" t="s">
        <v>43</v>
      </c>
      <c r="E254" s="40" t="s">
        <v>44</v>
      </c>
      <c r="F254" s="40" t="s">
        <v>884</v>
      </c>
      <c r="G254" s="40" t="s">
        <v>622</v>
      </c>
      <c r="H254" s="40" t="s">
        <v>45</v>
      </c>
      <c r="I254" s="40" t="s">
        <v>46</v>
      </c>
      <c r="J254" s="41">
        <v>3242511868.6981134</v>
      </c>
      <c r="K254" s="444">
        <v>4.8000000000000001E-2</v>
      </c>
      <c r="L254" s="444"/>
      <c r="M254" s="444"/>
      <c r="N254" s="444">
        <v>1E-3</v>
      </c>
      <c r="O254" s="42">
        <v>4.4499999999999998E-2</v>
      </c>
      <c r="P254" s="444">
        <v>9.35E-2</v>
      </c>
      <c r="Q254" s="434">
        <v>9504364</v>
      </c>
      <c r="R254" s="41">
        <v>6894834</v>
      </c>
      <c r="S254" s="672"/>
      <c r="T254" s="41"/>
      <c r="U254" s="41">
        <v>1341816</v>
      </c>
      <c r="V254" s="41">
        <v>1267714</v>
      </c>
      <c r="W254" s="672">
        <v>0</v>
      </c>
      <c r="X254" s="41"/>
      <c r="Y254" s="672"/>
      <c r="Z254" s="734"/>
      <c r="AA254" s="434">
        <f t="shared" si="30"/>
        <v>9504364</v>
      </c>
      <c r="AB254" s="42">
        <f t="shared" si="24"/>
        <v>0.72543875634392796</v>
      </c>
      <c r="AC254" s="42">
        <f t="shared" si="25"/>
        <v>0.14117893632861706</v>
      </c>
      <c r="AD254" s="42">
        <f t="shared" si="26"/>
        <v>2.1263866653997211E-3</v>
      </c>
      <c r="AE254" s="42">
        <f t="shared" si="27"/>
        <v>4.138199193512117E-4</v>
      </c>
      <c r="AF254" s="721">
        <f t="shared" si="31"/>
        <v>2.9311732338596049E-3</v>
      </c>
    </row>
    <row r="255" spans="1:32">
      <c r="A255" s="103" t="s">
        <v>1228</v>
      </c>
      <c r="B255" s="40" t="s">
        <v>1229</v>
      </c>
      <c r="C255" s="40" t="s">
        <v>1394</v>
      </c>
      <c r="D255" s="40" t="s">
        <v>553</v>
      </c>
      <c r="E255" s="40" t="s">
        <v>621</v>
      </c>
      <c r="F255" s="40" t="s">
        <v>884</v>
      </c>
      <c r="G255" s="40" t="s">
        <v>622</v>
      </c>
      <c r="H255" s="40" t="s">
        <v>45</v>
      </c>
      <c r="I255" s="40" t="s">
        <v>46</v>
      </c>
      <c r="J255" s="41">
        <v>1998665673.003984</v>
      </c>
      <c r="K255" s="444">
        <v>0.05</v>
      </c>
      <c r="L255" s="444"/>
      <c r="M255" s="444"/>
      <c r="N255" s="444">
        <v>1E-3</v>
      </c>
      <c r="O255" s="42">
        <v>6.7000000000000004E-2</v>
      </c>
      <c r="P255" s="444">
        <v>0.11800000000000001</v>
      </c>
      <c r="Q255" s="434">
        <v>6847844</v>
      </c>
      <c r="R255" s="41">
        <v>5033284</v>
      </c>
      <c r="S255" s="672"/>
      <c r="T255" s="41"/>
      <c r="U255" s="41">
        <v>794496</v>
      </c>
      <c r="V255" s="41">
        <v>1020064</v>
      </c>
      <c r="W255" s="672">
        <v>0</v>
      </c>
      <c r="X255" s="41"/>
      <c r="Y255" s="672"/>
      <c r="Z255" s="734"/>
      <c r="AA255" s="434">
        <f t="shared" si="30"/>
        <v>6847844</v>
      </c>
      <c r="AB255" s="42">
        <f t="shared" si="24"/>
        <v>0.7350173280816561</v>
      </c>
      <c r="AC255" s="42">
        <f t="shared" si="25"/>
        <v>0.11602133459815965</v>
      </c>
      <c r="AD255" s="42">
        <f t="shared" si="26"/>
        <v>2.5183221326030986E-3</v>
      </c>
      <c r="AE255" s="42">
        <f t="shared" si="27"/>
        <v>3.975132063012203E-4</v>
      </c>
      <c r="AF255" s="721">
        <f t="shared" si="31"/>
        <v>3.4262078408079759E-3</v>
      </c>
    </row>
    <row r="256" spans="1:32">
      <c r="A256" s="103" t="s">
        <v>1230</v>
      </c>
      <c r="B256" s="40" t="s">
        <v>1231</v>
      </c>
      <c r="C256" s="40" t="s">
        <v>1394</v>
      </c>
      <c r="D256" s="40" t="s">
        <v>553</v>
      </c>
      <c r="E256" s="40" t="s">
        <v>621</v>
      </c>
      <c r="F256" s="40" t="s">
        <v>884</v>
      </c>
      <c r="G256" s="40" t="s">
        <v>622</v>
      </c>
      <c r="H256" s="40" t="s">
        <v>45</v>
      </c>
      <c r="I256" s="40" t="s">
        <v>46</v>
      </c>
      <c r="J256" s="41">
        <v>4451634775.0199203</v>
      </c>
      <c r="K256" s="444">
        <v>0.05</v>
      </c>
      <c r="L256" s="444"/>
      <c r="M256" s="444"/>
      <c r="N256" s="444">
        <v>1E-3</v>
      </c>
      <c r="O256" s="42">
        <v>6.7000000000000004E-2</v>
      </c>
      <c r="P256" s="444">
        <v>0.11800000000000001</v>
      </c>
      <c r="Q256" s="434">
        <v>12062778</v>
      </c>
      <c r="R256" s="41">
        <v>9196191</v>
      </c>
      <c r="S256" s="672"/>
      <c r="T256" s="41"/>
      <c r="U256" s="41">
        <v>1846523</v>
      </c>
      <c r="V256" s="41">
        <v>1020064</v>
      </c>
      <c r="W256" s="672">
        <v>0</v>
      </c>
      <c r="X256" s="41"/>
      <c r="Y256" s="672"/>
      <c r="Z256" s="734"/>
      <c r="AA256" s="434">
        <f t="shared" si="30"/>
        <v>12062778</v>
      </c>
      <c r="AB256" s="42">
        <f t="shared" si="24"/>
        <v>0.76236095864484943</v>
      </c>
      <c r="AC256" s="42">
        <f t="shared" si="25"/>
        <v>0.15307609905446323</v>
      </c>
      <c r="AD256" s="42">
        <f t="shared" si="26"/>
        <v>2.0658008719861456E-3</v>
      </c>
      <c r="AE256" s="42">
        <f t="shared" si="27"/>
        <v>4.1479660693677123E-4</v>
      </c>
      <c r="AF256" s="721">
        <f t="shared" si="31"/>
        <v>2.7097411646816918E-3</v>
      </c>
    </row>
    <row r="257" spans="1:32">
      <c r="A257" s="103" t="s">
        <v>1232</v>
      </c>
      <c r="B257" s="40" t="s">
        <v>1233</v>
      </c>
      <c r="C257" s="40" t="s">
        <v>1394</v>
      </c>
      <c r="D257" s="40" t="s">
        <v>553</v>
      </c>
      <c r="E257" s="40" t="s">
        <v>621</v>
      </c>
      <c r="F257" s="40" t="s">
        <v>884</v>
      </c>
      <c r="G257" s="40" t="s">
        <v>622</v>
      </c>
      <c r="H257" s="40" t="s">
        <v>45</v>
      </c>
      <c r="I257" s="40" t="s">
        <v>46</v>
      </c>
      <c r="J257" s="41">
        <v>2711667660.4023905</v>
      </c>
      <c r="K257" s="444">
        <v>0.05</v>
      </c>
      <c r="L257" s="444"/>
      <c r="M257" s="444"/>
      <c r="N257" s="444">
        <v>1E-3</v>
      </c>
      <c r="O257" s="42">
        <v>6.7000000000000004E-2</v>
      </c>
      <c r="P257" s="444">
        <v>0.11800000000000001</v>
      </c>
      <c r="Q257" s="434">
        <v>9047671</v>
      </c>
      <c r="R257" s="41">
        <v>6901073</v>
      </c>
      <c r="S257" s="672"/>
      <c r="T257" s="41"/>
      <c r="U257" s="41">
        <v>1126534</v>
      </c>
      <c r="V257" s="41">
        <v>1020064</v>
      </c>
      <c r="W257" s="672">
        <v>0</v>
      </c>
      <c r="X257" s="41"/>
      <c r="Y257" s="672"/>
      <c r="Z257" s="734"/>
      <c r="AA257" s="434">
        <f t="shared" si="30"/>
        <v>9047671</v>
      </c>
      <c r="AB257" s="42">
        <f t="shared" si="24"/>
        <v>0.7627457939175728</v>
      </c>
      <c r="AC257" s="42">
        <f t="shared" si="25"/>
        <v>0.12451093767666839</v>
      </c>
      <c r="AD257" s="42">
        <f t="shared" si="26"/>
        <v>2.5449553058341724E-3</v>
      </c>
      <c r="AE257" s="42">
        <f t="shared" si="27"/>
        <v>4.1543955273369711E-4</v>
      </c>
      <c r="AF257" s="721">
        <f t="shared" si="31"/>
        <v>3.3365707502140567E-3</v>
      </c>
    </row>
    <row r="258" spans="1:32">
      <c r="A258" s="103" t="s">
        <v>1234</v>
      </c>
      <c r="B258" s="40" t="s">
        <v>1235</v>
      </c>
      <c r="C258" s="40" t="s">
        <v>1394</v>
      </c>
      <c r="D258" s="40" t="s">
        <v>553</v>
      </c>
      <c r="E258" s="40" t="s">
        <v>621</v>
      </c>
      <c r="F258" s="40" t="s">
        <v>884</v>
      </c>
      <c r="G258" s="40" t="s">
        <v>622</v>
      </c>
      <c r="H258" s="40" t="s">
        <v>45</v>
      </c>
      <c r="I258" s="40" t="s">
        <v>46</v>
      </c>
      <c r="J258" s="41">
        <v>1574982715.4860559</v>
      </c>
      <c r="K258" s="444">
        <v>0.05</v>
      </c>
      <c r="L258" s="444"/>
      <c r="M258" s="444"/>
      <c r="N258" s="444">
        <v>1E-3</v>
      </c>
      <c r="O258" s="42">
        <v>6.7000000000000004E-2</v>
      </c>
      <c r="P258" s="444">
        <v>0.11800000000000001</v>
      </c>
      <c r="Q258" s="434">
        <v>38250801</v>
      </c>
      <c r="R258" s="41">
        <v>14374749</v>
      </c>
      <c r="S258" s="672"/>
      <c r="T258" s="41">
        <v>21571276.5</v>
      </c>
      <c r="U258" s="41">
        <v>1037061</v>
      </c>
      <c r="V258" s="41">
        <v>1267714</v>
      </c>
      <c r="W258" s="672">
        <v>0</v>
      </c>
      <c r="X258" s="41"/>
      <c r="Y258" s="672"/>
      <c r="Z258" s="734"/>
      <c r="AA258" s="434">
        <f t="shared" si="30"/>
        <v>38250800.5</v>
      </c>
      <c r="AB258" s="42">
        <f t="shared" si="24"/>
        <v>0.3758025665371369</v>
      </c>
      <c r="AC258" s="42">
        <f t="shared" si="25"/>
        <v>2.7112138476683645E-2</v>
      </c>
      <c r="AD258" s="42">
        <f t="shared" si="26"/>
        <v>9.1269249234673701E-3</v>
      </c>
      <c r="AE258" s="42">
        <f t="shared" si="27"/>
        <v>6.5845865469066583E-4</v>
      </c>
      <c r="AF258" s="721">
        <f t="shared" si="31"/>
        <v>2.4286489066767575E-2</v>
      </c>
    </row>
    <row r="259" spans="1:32">
      <c r="A259" s="103" t="s">
        <v>1236</v>
      </c>
      <c r="B259" s="40" t="s">
        <v>1237</v>
      </c>
      <c r="C259" s="40" t="s">
        <v>1394</v>
      </c>
      <c r="D259" s="40" t="s">
        <v>553</v>
      </c>
      <c r="E259" s="40" t="s">
        <v>621</v>
      </c>
      <c r="F259" s="40" t="s">
        <v>884</v>
      </c>
      <c r="G259" s="40" t="s">
        <v>622</v>
      </c>
      <c r="H259" s="40" t="s">
        <v>45</v>
      </c>
      <c r="I259" s="40" t="s">
        <v>46</v>
      </c>
      <c r="J259" s="41">
        <v>3636039921.868526</v>
      </c>
      <c r="K259" s="444">
        <v>0.05</v>
      </c>
      <c r="L259" s="444"/>
      <c r="M259" s="444"/>
      <c r="N259" s="444">
        <v>1E-3</v>
      </c>
      <c r="O259" s="42">
        <v>6.7000000000000004E-2</v>
      </c>
      <c r="P259" s="444">
        <v>0.11800000000000001</v>
      </c>
      <c r="Q259" s="434">
        <v>10457476</v>
      </c>
      <c r="R259" s="41">
        <v>7936738</v>
      </c>
      <c r="S259" s="672"/>
      <c r="T259" s="41"/>
      <c r="U259" s="41">
        <v>1500674</v>
      </c>
      <c r="V259" s="41">
        <v>1020064</v>
      </c>
      <c r="W259" s="672">
        <v>0</v>
      </c>
      <c r="X259" s="41"/>
      <c r="Y259" s="672"/>
      <c r="Z259" s="734"/>
      <c r="AA259" s="434">
        <f t="shared" si="30"/>
        <v>10457476</v>
      </c>
      <c r="AB259" s="42">
        <f t="shared" ref="AB259:AB322" si="32">+R259/AA259</f>
        <v>0.75895349891312203</v>
      </c>
      <c r="AC259" s="42">
        <f t="shared" ref="AC259:AC322" si="33">+U259/AA259</f>
        <v>0.14350250481091231</v>
      </c>
      <c r="AD259" s="42">
        <f t="shared" ref="AD259:AD322" si="34">+R259/J259</f>
        <v>2.1827972658565822E-3</v>
      </c>
      <c r="AE259" s="42">
        <f t="shared" ref="AE259:AE322" si="35">+U259/J259</f>
        <v>4.1272209113392188E-4</v>
      </c>
      <c r="AF259" s="721">
        <f t="shared" si="31"/>
        <v>2.8760619313073998E-3</v>
      </c>
    </row>
    <row r="260" spans="1:32">
      <c r="A260" s="103" t="s">
        <v>1238</v>
      </c>
      <c r="B260" s="40" t="s">
        <v>1239</v>
      </c>
      <c r="C260" s="40" t="s">
        <v>1394</v>
      </c>
      <c r="D260" s="40" t="s">
        <v>43</v>
      </c>
      <c r="E260" s="40" t="s">
        <v>44</v>
      </c>
      <c r="F260" s="40" t="s">
        <v>884</v>
      </c>
      <c r="G260" s="40" t="s">
        <v>622</v>
      </c>
      <c r="H260" s="40" t="s">
        <v>45</v>
      </c>
      <c r="I260" s="40" t="s">
        <v>46</v>
      </c>
      <c r="J260" s="41">
        <v>5024448833.9433966</v>
      </c>
      <c r="K260" s="444">
        <v>4.8000000000000001E-2</v>
      </c>
      <c r="L260" s="444"/>
      <c r="M260" s="444"/>
      <c r="N260" s="444">
        <v>1E-3</v>
      </c>
      <c r="O260" s="42">
        <v>4.4499999999999998E-2</v>
      </c>
      <c r="P260" s="444">
        <v>9.35E-2</v>
      </c>
      <c r="Q260" s="434">
        <v>19259473</v>
      </c>
      <c r="R260" s="41">
        <v>15059849</v>
      </c>
      <c r="S260" s="672"/>
      <c r="T260" s="41"/>
      <c r="U260" s="41">
        <v>2931910</v>
      </c>
      <c r="V260" s="41">
        <v>1267714</v>
      </c>
      <c r="W260" s="672">
        <v>0</v>
      </c>
      <c r="X260" s="41"/>
      <c r="Y260" s="672"/>
      <c r="Z260" s="734"/>
      <c r="AA260" s="434">
        <f t="shared" si="30"/>
        <v>19259473</v>
      </c>
      <c r="AB260" s="42">
        <f t="shared" si="32"/>
        <v>0.78194501999094157</v>
      </c>
      <c r="AC260" s="42">
        <f t="shared" si="33"/>
        <v>0.15223209897799383</v>
      </c>
      <c r="AD260" s="42">
        <f t="shared" si="34"/>
        <v>2.9973136353307044E-3</v>
      </c>
      <c r="AE260" s="42">
        <f t="shared" si="35"/>
        <v>5.8352868083620527E-4</v>
      </c>
      <c r="AF260" s="721">
        <f t="shared" si="31"/>
        <v>3.8331513836681592E-3</v>
      </c>
    </row>
    <row r="261" spans="1:32">
      <c r="A261" s="103" t="s">
        <v>1240</v>
      </c>
      <c r="B261" s="40" t="s">
        <v>1241</v>
      </c>
      <c r="C261" s="40" t="s">
        <v>1394</v>
      </c>
      <c r="D261" s="40" t="s">
        <v>553</v>
      </c>
      <c r="E261" s="40" t="s">
        <v>621</v>
      </c>
      <c r="F261" s="40" t="s">
        <v>884</v>
      </c>
      <c r="G261" s="40" t="s">
        <v>622</v>
      </c>
      <c r="H261" s="40" t="s">
        <v>45</v>
      </c>
      <c r="I261" s="40" t="s">
        <v>46</v>
      </c>
      <c r="J261" s="41">
        <v>917675386.79282868</v>
      </c>
      <c r="K261" s="444">
        <v>0.05</v>
      </c>
      <c r="L261" s="444"/>
      <c r="M261" s="444"/>
      <c r="N261" s="444">
        <v>1E-3</v>
      </c>
      <c r="O261" s="42">
        <v>6.7000000000000004E-2</v>
      </c>
      <c r="P261" s="444">
        <v>0.11800000000000001</v>
      </c>
      <c r="Q261" s="434">
        <v>3973522</v>
      </c>
      <c r="R261" s="41">
        <v>2572062</v>
      </c>
      <c r="S261" s="672"/>
      <c r="T261" s="41"/>
      <c r="U261" s="41">
        <v>381396</v>
      </c>
      <c r="V261" s="41">
        <v>1020064</v>
      </c>
      <c r="W261" s="672">
        <v>0</v>
      </c>
      <c r="X261" s="41"/>
      <c r="Y261" s="672"/>
      <c r="Z261" s="734"/>
      <c r="AA261" s="434">
        <f t="shared" si="30"/>
        <v>3973522</v>
      </c>
      <c r="AB261" s="42">
        <f t="shared" si="32"/>
        <v>0.6473003043647424</v>
      </c>
      <c r="AC261" s="42">
        <f t="shared" si="33"/>
        <v>9.598436852746757E-2</v>
      </c>
      <c r="AD261" s="42">
        <f t="shared" si="34"/>
        <v>2.8028015538142138E-3</v>
      </c>
      <c r="AE261" s="42">
        <f t="shared" si="35"/>
        <v>4.1561101614911533E-4</v>
      </c>
      <c r="AF261" s="721">
        <f t="shared" si="31"/>
        <v>4.3299864605577014E-3</v>
      </c>
    </row>
    <row r="262" spans="1:32">
      <c r="A262" s="103" t="s">
        <v>1242</v>
      </c>
      <c r="B262" s="40" t="s">
        <v>1243</v>
      </c>
      <c r="C262" s="40" t="s">
        <v>1394</v>
      </c>
      <c r="D262" s="40" t="s">
        <v>553</v>
      </c>
      <c r="E262" s="40" t="s">
        <v>621</v>
      </c>
      <c r="F262" s="40" t="s">
        <v>884</v>
      </c>
      <c r="G262" s="40" t="s">
        <v>622</v>
      </c>
      <c r="H262" s="40" t="s">
        <v>45</v>
      </c>
      <c r="I262" s="40" t="s">
        <v>46</v>
      </c>
      <c r="J262" s="41">
        <v>3236444433.5418324</v>
      </c>
      <c r="K262" s="444">
        <v>0.05</v>
      </c>
      <c r="L262" s="444"/>
      <c r="M262" s="444"/>
      <c r="N262" s="444">
        <v>1E-3</v>
      </c>
      <c r="O262" s="42">
        <v>6.7000000000000004E-2</v>
      </c>
      <c r="P262" s="444">
        <v>0.11800000000000001</v>
      </c>
      <c r="Q262" s="434">
        <v>10035884</v>
      </c>
      <c r="R262" s="41">
        <v>7773885</v>
      </c>
      <c r="S262" s="672"/>
      <c r="T262" s="41"/>
      <c r="U262" s="41">
        <v>1241935</v>
      </c>
      <c r="V262" s="41">
        <v>1020064</v>
      </c>
      <c r="W262" s="672">
        <v>0</v>
      </c>
      <c r="X262" s="41"/>
      <c r="Y262" s="672"/>
      <c r="Z262" s="734"/>
      <c r="AA262" s="434">
        <f t="shared" si="30"/>
        <v>10035884</v>
      </c>
      <c r="AB262" s="42">
        <f t="shared" si="32"/>
        <v>0.77460889344675565</v>
      </c>
      <c r="AC262" s="42">
        <f t="shared" si="33"/>
        <v>0.12374943751840894</v>
      </c>
      <c r="AD262" s="42">
        <f t="shared" si="34"/>
        <v>2.4019831514587686E-3</v>
      </c>
      <c r="AE262" s="42">
        <f t="shared" si="35"/>
        <v>3.8373438058408968E-4</v>
      </c>
      <c r="AF262" s="721">
        <f t="shared" si="31"/>
        <v>3.1008979780373178E-3</v>
      </c>
    </row>
    <row r="263" spans="1:32">
      <c r="A263" s="103" t="s">
        <v>1244</v>
      </c>
      <c r="B263" s="40" t="s">
        <v>1245</v>
      </c>
      <c r="C263" s="40" t="s">
        <v>1394</v>
      </c>
      <c r="D263" s="40" t="s">
        <v>553</v>
      </c>
      <c r="E263" s="40" t="s">
        <v>621</v>
      </c>
      <c r="F263" s="40" t="s">
        <v>884</v>
      </c>
      <c r="G263" s="40" t="s">
        <v>622</v>
      </c>
      <c r="H263" s="40" t="s">
        <v>45</v>
      </c>
      <c r="I263" s="40" t="s">
        <v>46</v>
      </c>
      <c r="J263" s="41">
        <v>4129621896.5936255</v>
      </c>
      <c r="K263" s="444">
        <v>0.05</v>
      </c>
      <c r="L263" s="444"/>
      <c r="M263" s="444"/>
      <c r="N263" s="444">
        <v>1E-3</v>
      </c>
      <c r="O263" s="42">
        <v>6.7000000000000004E-2</v>
      </c>
      <c r="P263" s="444">
        <v>0.11800000000000001</v>
      </c>
      <c r="Q263" s="434">
        <v>13594160</v>
      </c>
      <c r="R263" s="41">
        <v>10872218</v>
      </c>
      <c r="S263" s="672"/>
      <c r="T263" s="41"/>
      <c r="U263" s="41">
        <v>1701878</v>
      </c>
      <c r="V263" s="41">
        <v>1020064</v>
      </c>
      <c r="W263" s="672">
        <v>0</v>
      </c>
      <c r="X263" s="41"/>
      <c r="Y263" s="672"/>
      <c r="Z263" s="734"/>
      <c r="AA263" s="434">
        <f t="shared" si="30"/>
        <v>13594160</v>
      </c>
      <c r="AB263" s="42">
        <f t="shared" si="32"/>
        <v>0.7997712252908602</v>
      </c>
      <c r="AC263" s="42">
        <f t="shared" si="33"/>
        <v>0.12519184708727865</v>
      </c>
      <c r="AD263" s="42">
        <f t="shared" si="34"/>
        <v>2.6327393335859868E-3</v>
      </c>
      <c r="AE263" s="42">
        <f t="shared" si="35"/>
        <v>4.1211472687216645E-4</v>
      </c>
      <c r="AF263" s="721">
        <f t="shared" si="31"/>
        <v>3.2918655364582716E-3</v>
      </c>
    </row>
    <row r="264" spans="1:32">
      <c r="A264" s="103" t="s">
        <v>1246</v>
      </c>
      <c r="B264" s="40" t="s">
        <v>1247</v>
      </c>
      <c r="C264" s="40" t="s">
        <v>1394</v>
      </c>
      <c r="D264" s="40" t="s">
        <v>43</v>
      </c>
      <c r="E264" s="40" t="s">
        <v>44</v>
      </c>
      <c r="F264" s="40" t="s">
        <v>884</v>
      </c>
      <c r="G264" s="40" t="s">
        <v>622</v>
      </c>
      <c r="H264" s="40" t="s">
        <v>62</v>
      </c>
      <c r="I264" s="40" t="s">
        <v>69</v>
      </c>
      <c r="J264" s="41">
        <v>8533571.5334528331</v>
      </c>
      <c r="K264" s="444">
        <v>4.8000000000000001E-2</v>
      </c>
      <c r="L264" s="444"/>
      <c r="M264" s="444"/>
      <c r="N264" s="444">
        <v>1E-3</v>
      </c>
      <c r="O264" s="42">
        <v>4.4499999999999998E-2</v>
      </c>
      <c r="P264" s="444">
        <v>9.35E-2</v>
      </c>
      <c r="Q264" s="434">
        <v>29220</v>
      </c>
      <c r="R264" s="41">
        <v>19894</v>
      </c>
      <c r="S264" s="672"/>
      <c r="T264" s="41">
        <v>698.41</v>
      </c>
      <c r="U264" s="41">
        <v>3864.91</v>
      </c>
      <c r="V264" s="41">
        <v>4762.5</v>
      </c>
      <c r="W264" s="672">
        <v>0</v>
      </c>
      <c r="X264" s="41"/>
      <c r="Y264" s="672"/>
      <c r="Z264" s="734"/>
      <c r="AA264" s="434">
        <f t="shared" si="30"/>
        <v>29219.82</v>
      </c>
      <c r="AB264" s="42">
        <f t="shared" si="32"/>
        <v>0.68083923857162709</v>
      </c>
      <c r="AC264" s="42">
        <f t="shared" si="33"/>
        <v>0.13227015087704166</v>
      </c>
      <c r="AD264" s="42">
        <f t="shared" si="34"/>
        <v>2.331263049944873E-3</v>
      </c>
      <c r="AE264" s="42">
        <f t="shared" si="35"/>
        <v>4.5290649815836129E-4</v>
      </c>
      <c r="AF264" s="721">
        <f t="shared" si="31"/>
        <v>3.4241020756027047E-3</v>
      </c>
    </row>
    <row r="265" spans="1:32">
      <c r="A265" s="103" t="s">
        <v>1248</v>
      </c>
      <c r="B265" s="40" t="s">
        <v>1249</v>
      </c>
      <c r="C265" s="40" t="s">
        <v>1394</v>
      </c>
      <c r="D265" s="40" t="s">
        <v>43</v>
      </c>
      <c r="E265" s="40" t="s">
        <v>44</v>
      </c>
      <c r="F265" s="40" t="s">
        <v>884</v>
      </c>
      <c r="G265" s="40" t="s">
        <v>622</v>
      </c>
      <c r="H265" s="40" t="s">
        <v>45</v>
      </c>
      <c r="I265" s="40" t="s">
        <v>46</v>
      </c>
      <c r="J265" s="41">
        <v>1534797196.9433963</v>
      </c>
      <c r="K265" s="444">
        <v>4.8000000000000001E-2</v>
      </c>
      <c r="L265" s="444"/>
      <c r="M265" s="444"/>
      <c r="N265" s="444">
        <v>1E-3</v>
      </c>
      <c r="O265" s="42">
        <v>4.4499999999999998E-2</v>
      </c>
      <c r="P265" s="444">
        <v>9.35E-2</v>
      </c>
      <c r="Q265" s="434">
        <v>5623008</v>
      </c>
      <c r="R265" s="41">
        <v>3655267</v>
      </c>
      <c r="S265" s="672"/>
      <c r="T265" s="41"/>
      <c r="U265" s="41">
        <v>700027</v>
      </c>
      <c r="V265" s="41">
        <v>1267714</v>
      </c>
      <c r="W265" s="672">
        <v>0</v>
      </c>
      <c r="X265" s="41"/>
      <c r="Y265" s="672"/>
      <c r="Z265" s="734"/>
      <c r="AA265" s="434">
        <f t="shared" si="30"/>
        <v>5623008</v>
      </c>
      <c r="AB265" s="42">
        <f t="shared" si="32"/>
        <v>0.65005545074806936</v>
      </c>
      <c r="AC265" s="42">
        <f t="shared" si="33"/>
        <v>0.12449333168297111</v>
      </c>
      <c r="AD265" s="42">
        <f t="shared" si="34"/>
        <v>2.3815960879258807E-3</v>
      </c>
      <c r="AE265" s="42">
        <f t="shared" si="35"/>
        <v>4.5610390831709159E-4</v>
      </c>
      <c r="AF265" s="721">
        <f t="shared" si="31"/>
        <v>3.6636814369992478E-3</v>
      </c>
    </row>
    <row r="266" spans="1:32">
      <c r="A266" s="103" t="s">
        <v>1250</v>
      </c>
      <c r="B266" s="40" t="s">
        <v>1251</v>
      </c>
      <c r="C266" s="40" t="s">
        <v>1394</v>
      </c>
      <c r="D266" s="40" t="s">
        <v>553</v>
      </c>
      <c r="E266" s="40" t="s">
        <v>621</v>
      </c>
      <c r="F266" s="40" t="s">
        <v>884</v>
      </c>
      <c r="G266" s="40" t="s">
        <v>622</v>
      </c>
      <c r="H266" s="40" t="s">
        <v>45</v>
      </c>
      <c r="I266" s="40" t="s">
        <v>46</v>
      </c>
      <c r="J266" s="41">
        <v>9545733225.270916</v>
      </c>
      <c r="K266" s="444">
        <v>0.05</v>
      </c>
      <c r="L266" s="444"/>
      <c r="M266" s="444"/>
      <c r="N266" s="444">
        <v>1E-3</v>
      </c>
      <c r="O266" s="42">
        <v>6.7000000000000004E-2</v>
      </c>
      <c r="P266" s="444">
        <v>0.11800000000000001</v>
      </c>
      <c r="Q266" s="434">
        <v>24817666</v>
      </c>
      <c r="R266" s="41">
        <v>20469834</v>
      </c>
      <c r="S266" s="672"/>
      <c r="T266" s="41"/>
      <c r="U266" s="41">
        <v>3327768</v>
      </c>
      <c r="V266" s="41">
        <v>1020064</v>
      </c>
      <c r="W266" s="672">
        <v>0</v>
      </c>
      <c r="X266" s="41"/>
      <c r="Y266" s="672"/>
      <c r="Z266" s="734"/>
      <c r="AA266" s="434">
        <f t="shared" si="30"/>
        <v>24817666</v>
      </c>
      <c r="AB266" s="42">
        <f t="shared" si="32"/>
        <v>0.82480898888719023</v>
      </c>
      <c r="AC266" s="42">
        <f t="shared" si="33"/>
        <v>0.13408867699323537</v>
      </c>
      <c r="AD266" s="42">
        <f t="shared" si="34"/>
        <v>2.1443961942922462E-3</v>
      </c>
      <c r="AE266" s="42">
        <f t="shared" si="35"/>
        <v>3.486131365152995E-4</v>
      </c>
      <c r="AF266" s="721">
        <f t="shared" si="31"/>
        <v>2.5998700586246119E-3</v>
      </c>
    </row>
    <row r="267" spans="1:32">
      <c r="A267" s="103" t="s">
        <v>1252</v>
      </c>
      <c r="B267" s="40" t="s">
        <v>1253</v>
      </c>
      <c r="C267" s="40" t="s">
        <v>1394</v>
      </c>
      <c r="D267" s="40" t="s">
        <v>553</v>
      </c>
      <c r="E267" s="40" t="s">
        <v>621</v>
      </c>
      <c r="F267" s="40" t="s">
        <v>884</v>
      </c>
      <c r="G267" s="40" t="s">
        <v>622</v>
      </c>
      <c r="H267" s="40" t="s">
        <v>45</v>
      </c>
      <c r="I267" s="40" t="s">
        <v>46</v>
      </c>
      <c r="J267" s="41">
        <v>3043437902.5258965</v>
      </c>
      <c r="K267" s="444">
        <v>0.05</v>
      </c>
      <c r="L267" s="444"/>
      <c r="M267" s="444"/>
      <c r="N267" s="444">
        <v>1E-3</v>
      </c>
      <c r="O267" s="42">
        <v>6.7000000000000004E-2</v>
      </c>
      <c r="P267" s="444">
        <v>0.11800000000000001</v>
      </c>
      <c r="Q267" s="434">
        <v>8725981</v>
      </c>
      <c r="R267" s="41">
        <v>6636885</v>
      </c>
      <c r="S267" s="672"/>
      <c r="T267" s="41"/>
      <c r="U267" s="41">
        <v>1069032</v>
      </c>
      <c r="V267" s="41">
        <v>1020064</v>
      </c>
      <c r="W267" s="672">
        <v>0</v>
      </c>
      <c r="X267" s="41"/>
      <c r="Y267" s="672"/>
      <c r="Z267" s="734"/>
      <c r="AA267" s="434">
        <f t="shared" si="30"/>
        <v>8725981</v>
      </c>
      <c r="AB267" s="42">
        <f t="shared" si="32"/>
        <v>0.76058898134204056</v>
      </c>
      <c r="AC267" s="42">
        <f t="shared" si="33"/>
        <v>0.12251138296083844</v>
      </c>
      <c r="AD267" s="42">
        <f t="shared" si="34"/>
        <v>2.1807197033630052E-3</v>
      </c>
      <c r="AE267" s="42">
        <f t="shared" si="35"/>
        <v>3.5125802932031524E-4</v>
      </c>
      <c r="AF267" s="721">
        <f t="shared" si="31"/>
        <v>2.8671460629303082E-3</v>
      </c>
    </row>
    <row r="268" spans="1:32">
      <c r="A268" s="103" t="s">
        <v>1254</v>
      </c>
      <c r="B268" s="40" t="s">
        <v>1255</v>
      </c>
      <c r="C268" s="40" t="s">
        <v>1394</v>
      </c>
      <c r="D268" s="40" t="s">
        <v>553</v>
      </c>
      <c r="E268" s="40" t="s">
        <v>621</v>
      </c>
      <c r="F268" s="40" t="s">
        <v>884</v>
      </c>
      <c r="G268" s="40" t="s">
        <v>622</v>
      </c>
      <c r="H268" s="40" t="s">
        <v>45</v>
      </c>
      <c r="I268" s="40" t="s">
        <v>46</v>
      </c>
      <c r="J268" s="41">
        <v>1226156197.4741037</v>
      </c>
      <c r="K268" s="444">
        <v>0.05</v>
      </c>
      <c r="L268" s="444"/>
      <c r="M268" s="444"/>
      <c r="N268" s="444">
        <v>1E-3</v>
      </c>
      <c r="O268" s="42">
        <v>6.7000000000000004E-2</v>
      </c>
      <c r="P268" s="444">
        <v>0.11800000000000001</v>
      </c>
      <c r="Q268" s="434">
        <v>4284959</v>
      </c>
      <c r="R268" s="41">
        <v>2818476</v>
      </c>
      <c r="S268" s="672"/>
      <c r="T268" s="41"/>
      <c r="U268" s="41">
        <v>446419</v>
      </c>
      <c r="V268" s="41">
        <v>1020064</v>
      </c>
      <c r="W268" s="672">
        <v>0</v>
      </c>
      <c r="X268" s="41"/>
      <c r="Y268" s="672"/>
      <c r="Z268" s="734"/>
      <c r="AA268" s="434">
        <f t="shared" si="30"/>
        <v>4284959</v>
      </c>
      <c r="AB268" s="42">
        <f t="shared" si="32"/>
        <v>0.65776031929360346</v>
      </c>
      <c r="AC268" s="42">
        <f t="shared" si="33"/>
        <v>0.10418279381436321</v>
      </c>
      <c r="AD268" s="42">
        <f t="shared" si="34"/>
        <v>2.2986272106327839E-3</v>
      </c>
      <c r="AE268" s="42">
        <f t="shared" si="35"/>
        <v>3.6408004210200008E-4</v>
      </c>
      <c r="AF268" s="721">
        <f t="shared" si="31"/>
        <v>3.4946273638114512E-3</v>
      </c>
    </row>
    <row r="269" spans="1:32">
      <c r="A269" s="103" t="s">
        <v>1256</v>
      </c>
      <c r="B269" s="40" t="s">
        <v>1257</v>
      </c>
      <c r="C269" s="40" t="s">
        <v>1394</v>
      </c>
      <c r="D269" s="40" t="s">
        <v>43</v>
      </c>
      <c r="E269" s="40" t="s">
        <v>44</v>
      </c>
      <c r="F269" s="40" t="s">
        <v>55</v>
      </c>
      <c r="G269" s="40" t="s">
        <v>58</v>
      </c>
      <c r="H269" s="40" t="s">
        <v>62</v>
      </c>
      <c r="I269" s="40" t="s">
        <v>46</v>
      </c>
      <c r="J269" s="41">
        <v>4088118023.5555553</v>
      </c>
      <c r="K269" s="444">
        <v>8.0000000000000002E-3</v>
      </c>
      <c r="L269" s="444"/>
      <c r="M269" s="444"/>
      <c r="N269" s="444">
        <v>1E-3</v>
      </c>
      <c r="O269" s="42">
        <v>1.2999999999999999E-2</v>
      </c>
      <c r="P269" s="444">
        <v>2.1999999999999999E-2</v>
      </c>
      <c r="Q269" s="434">
        <v>89723694</v>
      </c>
      <c r="R269" s="41">
        <v>32473671</v>
      </c>
      <c r="S269" s="672"/>
      <c r="T269" s="41">
        <v>51444754.371186212</v>
      </c>
      <c r="U269" s="41">
        <v>3290659</v>
      </c>
      <c r="V269" s="41">
        <v>2477650</v>
      </c>
      <c r="W269" s="672">
        <v>36960</v>
      </c>
      <c r="X269" s="41"/>
      <c r="Y269" s="672"/>
      <c r="Z269" s="734">
        <v>1.41E-2</v>
      </c>
      <c r="AA269" s="434">
        <f t="shared" si="30"/>
        <v>89686734.371186212</v>
      </c>
      <c r="AB269" s="42">
        <f t="shared" si="32"/>
        <v>0.36207886514856608</v>
      </c>
      <c r="AC269" s="42">
        <f t="shared" si="33"/>
        <v>3.6690587778354822E-2</v>
      </c>
      <c r="AD269" s="42">
        <f t="shared" si="34"/>
        <v>7.9434279570423701E-3</v>
      </c>
      <c r="AE269" s="42">
        <f t="shared" si="35"/>
        <v>8.0493248507977708E-4</v>
      </c>
      <c r="AF269" s="721">
        <f t="shared" si="31"/>
        <v>3.6038391664432193E-2</v>
      </c>
    </row>
    <row r="270" spans="1:32">
      <c r="A270" s="103" t="s">
        <v>1258</v>
      </c>
      <c r="B270" s="40" t="s">
        <v>1259</v>
      </c>
      <c r="C270" s="40" t="s">
        <v>1394</v>
      </c>
      <c r="D270" s="40" t="s">
        <v>43</v>
      </c>
      <c r="E270" s="40" t="s">
        <v>44</v>
      </c>
      <c r="F270" s="40" t="s">
        <v>884</v>
      </c>
      <c r="G270" s="40" t="s">
        <v>622</v>
      </c>
      <c r="H270" s="40" t="s">
        <v>62</v>
      </c>
      <c r="I270" s="40" t="s">
        <v>239</v>
      </c>
      <c r="J270" s="41">
        <v>12077385.271698114</v>
      </c>
      <c r="K270" s="444">
        <v>4.8000000000000001E-2</v>
      </c>
      <c r="L270" s="444"/>
      <c r="M270" s="444"/>
      <c r="N270" s="444">
        <v>1E-3</v>
      </c>
      <c r="O270" s="42">
        <v>4.4499999999999998E-2</v>
      </c>
      <c r="P270" s="444">
        <v>9.35E-2</v>
      </c>
      <c r="Q270" s="434">
        <v>46822</v>
      </c>
      <c r="R270" s="41">
        <v>27508</v>
      </c>
      <c r="S270" s="672"/>
      <c r="T270" s="41">
        <v>7094.63</v>
      </c>
      <c r="U270" s="41">
        <v>5360.78</v>
      </c>
      <c r="V270" s="41">
        <v>6858</v>
      </c>
      <c r="W270" s="672">
        <v>0</v>
      </c>
      <c r="X270" s="41"/>
      <c r="Y270" s="672"/>
      <c r="Z270" s="734"/>
      <c r="AA270" s="434">
        <f t="shared" si="30"/>
        <v>46821.409999999996</v>
      </c>
      <c r="AB270" s="42">
        <f t="shared" si="32"/>
        <v>0.58750900496161906</v>
      </c>
      <c r="AC270" s="42">
        <f t="shared" si="33"/>
        <v>0.11449420254537401</v>
      </c>
      <c r="AD270" s="42">
        <f t="shared" si="34"/>
        <v>2.2776453165290387E-3</v>
      </c>
      <c r="AE270" s="42">
        <f t="shared" si="35"/>
        <v>4.4386925476016213E-4</v>
      </c>
      <c r="AF270" s="721">
        <f t="shared" si="31"/>
        <v>3.8767836701972475E-3</v>
      </c>
    </row>
    <row r="271" spans="1:32">
      <c r="A271" s="103" t="s">
        <v>1260</v>
      </c>
      <c r="B271" s="40" t="s">
        <v>1261</v>
      </c>
      <c r="C271" s="40" t="s">
        <v>1394</v>
      </c>
      <c r="D271" s="40" t="s">
        <v>43</v>
      </c>
      <c r="E271" s="40" t="s">
        <v>44</v>
      </c>
      <c r="F271" s="40" t="s">
        <v>884</v>
      </c>
      <c r="G271" s="40" t="s">
        <v>622</v>
      </c>
      <c r="H271" s="40" t="s">
        <v>62</v>
      </c>
      <c r="I271" s="40" t="s">
        <v>69</v>
      </c>
      <c r="J271" s="41">
        <v>9570296.2758490536</v>
      </c>
      <c r="K271" s="444">
        <v>4.8000000000000001E-2</v>
      </c>
      <c r="L271" s="444"/>
      <c r="M271" s="444"/>
      <c r="N271" s="444">
        <v>1E-3</v>
      </c>
      <c r="O271" s="42">
        <v>4.4499999999999998E-2</v>
      </c>
      <c r="P271" s="444">
        <v>9.35E-2</v>
      </c>
      <c r="Q271" s="434">
        <v>39123</v>
      </c>
      <c r="R271" s="41">
        <v>22718</v>
      </c>
      <c r="S271" s="672"/>
      <c r="T271" s="41">
        <v>7208.75</v>
      </c>
      <c r="U271" s="41">
        <v>4433.24</v>
      </c>
      <c r="V271" s="41">
        <v>4762.5</v>
      </c>
      <c r="W271" s="672">
        <v>0</v>
      </c>
      <c r="X271" s="41"/>
      <c r="Y271" s="672"/>
      <c r="Z271" s="734"/>
      <c r="AA271" s="434">
        <f t="shared" si="30"/>
        <v>39122.49</v>
      </c>
      <c r="AB271" s="42">
        <f t="shared" si="32"/>
        <v>0.58068901033650977</v>
      </c>
      <c r="AC271" s="42">
        <f t="shared" si="33"/>
        <v>0.11331691822274094</v>
      </c>
      <c r="AD271" s="42">
        <f t="shared" si="34"/>
        <v>2.3738032078828735E-3</v>
      </c>
      <c r="AE271" s="42">
        <f t="shared" si="35"/>
        <v>4.632291281501307E-4</v>
      </c>
      <c r="AF271" s="721">
        <f t="shared" si="31"/>
        <v>4.0879079259778864E-3</v>
      </c>
    </row>
    <row r="272" spans="1:32">
      <c r="A272" s="103" t="s">
        <v>1262</v>
      </c>
      <c r="B272" s="40" t="s">
        <v>1263</v>
      </c>
      <c r="C272" s="40" t="s">
        <v>1394</v>
      </c>
      <c r="D272" s="40" t="s">
        <v>43</v>
      </c>
      <c r="E272" s="40" t="s">
        <v>44</v>
      </c>
      <c r="F272" s="40" t="s">
        <v>884</v>
      </c>
      <c r="G272" s="40" t="s">
        <v>622</v>
      </c>
      <c r="H272" s="40" t="s">
        <v>45</v>
      </c>
      <c r="I272" s="40" t="s">
        <v>46</v>
      </c>
      <c r="J272" s="41">
        <v>1841623234.3396227</v>
      </c>
      <c r="K272" s="444">
        <v>4.8000000000000001E-2</v>
      </c>
      <c r="L272" s="444"/>
      <c r="M272" s="444"/>
      <c r="N272" s="444">
        <v>1E-3</v>
      </c>
      <c r="O272" s="42">
        <v>4.4499999999999998E-2</v>
      </c>
      <c r="P272" s="444">
        <v>9.35E-2</v>
      </c>
      <c r="Q272" s="434">
        <v>9490479</v>
      </c>
      <c r="R272" s="41">
        <v>4247142</v>
      </c>
      <c r="S272" s="672"/>
      <c r="T272" s="41">
        <v>3148548</v>
      </c>
      <c r="U272" s="41">
        <v>827075</v>
      </c>
      <c r="V272" s="41">
        <v>1267714</v>
      </c>
      <c r="W272" s="672">
        <v>0</v>
      </c>
      <c r="X272" s="41"/>
      <c r="Y272" s="672"/>
      <c r="Z272" s="734"/>
      <c r="AA272" s="434">
        <f t="shared" si="30"/>
        <v>9490479</v>
      </c>
      <c r="AB272" s="42">
        <f t="shared" si="32"/>
        <v>0.44751608427772721</v>
      </c>
      <c r="AC272" s="42">
        <f t="shared" si="33"/>
        <v>8.714786682526772E-2</v>
      </c>
      <c r="AD272" s="42">
        <f t="shared" si="34"/>
        <v>2.3061948398598255E-3</v>
      </c>
      <c r="AE272" s="42">
        <f t="shared" si="35"/>
        <v>4.4910108896219274E-4</v>
      </c>
      <c r="AF272" s="721">
        <f t="shared" si="31"/>
        <v>5.1533227986250603E-3</v>
      </c>
    </row>
    <row r="273" spans="1:32">
      <c r="A273" s="103" t="s">
        <v>1264</v>
      </c>
      <c r="B273" s="40" t="s">
        <v>1265</v>
      </c>
      <c r="C273" s="40" t="s">
        <v>1394</v>
      </c>
      <c r="D273" s="40" t="s">
        <v>43</v>
      </c>
      <c r="E273" s="40" t="s">
        <v>44</v>
      </c>
      <c r="F273" s="40" t="s">
        <v>1348</v>
      </c>
      <c r="G273" s="40" t="s">
        <v>48</v>
      </c>
      <c r="H273" s="40" t="s">
        <v>45</v>
      </c>
      <c r="I273" s="40" t="s">
        <v>46</v>
      </c>
      <c r="J273" s="41">
        <v>13746055169.229839</v>
      </c>
      <c r="K273" s="444">
        <v>5.4999999999999997E-3</v>
      </c>
      <c r="L273" s="444"/>
      <c r="M273" s="444"/>
      <c r="N273" s="444">
        <v>1E-3</v>
      </c>
      <c r="O273" s="42">
        <v>0.01</v>
      </c>
      <c r="P273" s="444">
        <v>1.6500000000000001E-2</v>
      </c>
      <c r="Q273" s="434">
        <v>166229926</v>
      </c>
      <c r="R273" s="41">
        <v>55322244</v>
      </c>
      <c r="S273" s="672"/>
      <c r="T273" s="41">
        <v>94006893.884717882</v>
      </c>
      <c r="U273" s="41">
        <v>11064436</v>
      </c>
      <c r="V273" s="41">
        <v>5740460</v>
      </c>
      <c r="W273" s="672">
        <v>95892</v>
      </c>
      <c r="X273" s="41"/>
      <c r="Y273" s="672"/>
      <c r="Z273" s="734"/>
      <c r="AA273" s="434">
        <f t="shared" si="30"/>
        <v>166134033.88471788</v>
      </c>
      <c r="AB273" s="42">
        <f t="shared" si="32"/>
        <v>0.33299765680997473</v>
      </c>
      <c r="AC273" s="42">
        <f t="shared" si="33"/>
        <v>6.6599454315770884E-2</v>
      </c>
      <c r="AD273" s="42">
        <f t="shared" si="34"/>
        <v>4.0245905693611136E-3</v>
      </c>
      <c r="AE273" s="42">
        <f t="shared" si="35"/>
        <v>8.0491718269598035E-4</v>
      </c>
      <c r="AF273" s="721">
        <f t="shared" si="31"/>
        <v>1.2085942609673521E-2</v>
      </c>
    </row>
    <row r="274" spans="1:32">
      <c r="A274" s="103" t="s">
        <v>1266</v>
      </c>
      <c r="B274" s="40" t="s">
        <v>1267</v>
      </c>
      <c r="C274" s="40" t="s">
        <v>1394</v>
      </c>
      <c r="D274" s="40" t="s">
        <v>43</v>
      </c>
      <c r="E274" s="40" t="s">
        <v>44</v>
      </c>
      <c r="F274" s="40" t="s">
        <v>1349</v>
      </c>
      <c r="G274" s="40" t="s">
        <v>58</v>
      </c>
      <c r="H274" s="40" t="s">
        <v>45</v>
      </c>
      <c r="I274" s="40" t="s">
        <v>46</v>
      </c>
      <c r="J274" s="41">
        <v>2406419702.9268293</v>
      </c>
      <c r="K274" s="444">
        <v>8.0000000000000002E-3</v>
      </c>
      <c r="L274" s="444"/>
      <c r="M274" s="444"/>
      <c r="N274" s="444">
        <v>1E-3</v>
      </c>
      <c r="O274" s="42">
        <v>1.2999999999999999E-2</v>
      </c>
      <c r="P274" s="444">
        <v>2.1999999999999999E-2</v>
      </c>
      <c r="Q274" s="434">
        <v>53171386</v>
      </c>
      <c r="R274" s="41">
        <v>16380136</v>
      </c>
      <c r="S274" s="672"/>
      <c r="T274" s="41">
        <v>26703140.389880449</v>
      </c>
      <c r="U274" s="41">
        <v>1927091</v>
      </c>
      <c r="V274" s="41">
        <v>2712110</v>
      </c>
      <c r="W274" s="672">
        <v>5448909</v>
      </c>
      <c r="X274" s="41"/>
      <c r="Y274" s="672"/>
      <c r="Z274" s="734"/>
      <c r="AA274" s="434">
        <f t="shared" ref="AA274:AA305" si="36">+R274+T274+U274+V274+X274</f>
        <v>47722477.389880449</v>
      </c>
      <c r="AB274" s="42">
        <f t="shared" si="32"/>
        <v>0.34323733586122268</v>
      </c>
      <c r="AC274" s="42">
        <f t="shared" si="33"/>
        <v>4.038120201212856E-2</v>
      </c>
      <c r="AD274" s="42">
        <f t="shared" si="34"/>
        <v>6.8068491876448296E-3</v>
      </c>
      <c r="AE274" s="42">
        <f t="shared" si="35"/>
        <v>8.008125089967301E-4</v>
      </c>
      <c r="AF274" s="721">
        <f t="shared" ref="AF274:AF305" si="37">+(AA274/J274)+Z274</f>
        <v>1.9831319254840527E-2</v>
      </c>
    </row>
    <row r="275" spans="1:32">
      <c r="A275" s="103" t="s">
        <v>1268</v>
      </c>
      <c r="B275" s="40" t="s">
        <v>1269</v>
      </c>
      <c r="C275" s="40" t="s">
        <v>1394</v>
      </c>
      <c r="D275" s="40" t="s">
        <v>43</v>
      </c>
      <c r="E275" s="40" t="s">
        <v>44</v>
      </c>
      <c r="F275" s="40" t="s">
        <v>884</v>
      </c>
      <c r="G275" s="40" t="s">
        <v>622</v>
      </c>
      <c r="H275" s="40" t="s">
        <v>62</v>
      </c>
      <c r="I275" s="40" t="s">
        <v>69</v>
      </c>
      <c r="J275" s="41">
        <v>13887906.338301886</v>
      </c>
      <c r="K275" s="444">
        <v>4.8000000000000001E-2</v>
      </c>
      <c r="L275" s="444"/>
      <c r="M275" s="444"/>
      <c r="N275" s="444">
        <v>1E-3</v>
      </c>
      <c r="O275" s="42">
        <v>4.4499999999999998E-2</v>
      </c>
      <c r="P275" s="444">
        <v>9.35E-2</v>
      </c>
      <c r="Q275" s="434">
        <v>37945</v>
      </c>
      <c r="R275" s="41">
        <v>27785</v>
      </c>
      <c r="S275" s="672"/>
      <c r="T275" s="41"/>
      <c r="U275" s="41">
        <v>5397.5</v>
      </c>
      <c r="V275" s="41">
        <v>4762.5</v>
      </c>
      <c r="W275" s="672">
        <v>0</v>
      </c>
      <c r="X275" s="41"/>
      <c r="Y275" s="672"/>
      <c r="Z275" s="734"/>
      <c r="AA275" s="434">
        <f t="shared" si="36"/>
        <v>37945</v>
      </c>
      <c r="AB275" s="42">
        <f t="shared" si="32"/>
        <v>0.73224403742258537</v>
      </c>
      <c r="AC275" s="42">
        <f t="shared" si="33"/>
        <v>0.14224535511925154</v>
      </c>
      <c r="AD275" s="42">
        <f t="shared" si="34"/>
        <v>2.0006615340838591E-3</v>
      </c>
      <c r="AE275" s="42">
        <f t="shared" si="35"/>
        <v>3.8864749433930641E-4</v>
      </c>
      <c r="AF275" s="721">
        <f t="shared" si="37"/>
        <v>2.7322332881343182E-3</v>
      </c>
    </row>
    <row r="276" spans="1:32">
      <c r="A276" s="103" t="s">
        <v>1270</v>
      </c>
      <c r="B276" s="40" t="s">
        <v>1271</v>
      </c>
      <c r="C276" s="40" t="s">
        <v>1394</v>
      </c>
      <c r="D276" s="40" t="s">
        <v>43</v>
      </c>
      <c r="E276" s="40" t="s">
        <v>44</v>
      </c>
      <c r="F276" s="40" t="s">
        <v>55</v>
      </c>
      <c r="G276" s="40" t="s">
        <v>666</v>
      </c>
      <c r="H276" s="40" t="s">
        <v>62</v>
      </c>
      <c r="I276" s="40" t="s">
        <v>46</v>
      </c>
      <c r="J276" s="41">
        <v>1391650726.7540984</v>
      </c>
      <c r="K276" s="444">
        <v>8.0000000000000002E-3</v>
      </c>
      <c r="L276" s="444"/>
      <c r="M276" s="444"/>
      <c r="N276" s="444">
        <v>1E-3</v>
      </c>
      <c r="O276" s="42">
        <v>1.2999999999999999E-2</v>
      </c>
      <c r="P276" s="444">
        <v>2.1999999999999999E-2</v>
      </c>
      <c r="Q276" s="434">
        <v>31318548</v>
      </c>
      <c r="R276" s="41">
        <v>9564655</v>
      </c>
      <c r="S276" s="672"/>
      <c r="T276" s="41">
        <v>14981290.643501159</v>
      </c>
      <c r="U276" s="41">
        <v>1125245.3704980854</v>
      </c>
      <c r="V276" s="41">
        <v>1045645.6899345538</v>
      </c>
      <c r="W276" s="672">
        <v>28401.158422100081</v>
      </c>
      <c r="X276" s="41">
        <v>4573309.8740544505</v>
      </c>
      <c r="Y276" s="672"/>
      <c r="Z276" s="734">
        <v>6.7000000000000002E-3</v>
      </c>
      <c r="AA276" s="434">
        <f t="shared" si="36"/>
        <v>31290146.577988252</v>
      </c>
      <c r="AB276" s="42">
        <f t="shared" si="32"/>
        <v>0.30567626061325226</v>
      </c>
      <c r="AC276" s="42">
        <f t="shared" si="33"/>
        <v>3.5961652263069431E-2</v>
      </c>
      <c r="AD276" s="42">
        <f t="shared" si="34"/>
        <v>6.8728847088728269E-3</v>
      </c>
      <c r="AE276" s="42">
        <f t="shared" si="35"/>
        <v>8.0856880887248208E-4</v>
      </c>
      <c r="AF276" s="721">
        <f t="shared" si="37"/>
        <v>2.918419519096558E-2</v>
      </c>
    </row>
    <row r="277" spans="1:32">
      <c r="A277" s="103" t="s">
        <v>1272</v>
      </c>
      <c r="B277" s="40" t="s">
        <v>1273</v>
      </c>
      <c r="C277" s="40" t="s">
        <v>1394</v>
      </c>
      <c r="D277" s="40" t="s">
        <v>43</v>
      </c>
      <c r="E277" s="40" t="s">
        <v>44</v>
      </c>
      <c r="F277" s="40" t="s">
        <v>55</v>
      </c>
      <c r="G277" s="40" t="s">
        <v>666</v>
      </c>
      <c r="H277" s="40" t="s">
        <v>62</v>
      </c>
      <c r="I277" s="40" t="s">
        <v>239</v>
      </c>
      <c r="J277" s="41">
        <v>658402381.66529715</v>
      </c>
      <c r="K277" s="444">
        <v>8.0000000000000002E-3</v>
      </c>
      <c r="L277" s="444"/>
      <c r="M277" s="444"/>
      <c r="N277" s="444">
        <v>1E-3</v>
      </c>
      <c r="O277" s="42">
        <v>1.2999999999999999E-2</v>
      </c>
      <c r="P277" s="444">
        <v>2.1999999999999999E-2</v>
      </c>
      <c r="Q277" s="434">
        <v>15128912</v>
      </c>
      <c r="R277" s="41">
        <v>4525124</v>
      </c>
      <c r="S277" s="672"/>
      <c r="T277" s="41">
        <v>7399609.7755778804</v>
      </c>
      <c r="U277" s="41">
        <v>532363.62950191461</v>
      </c>
      <c r="V277" s="41">
        <v>494704.31006544619</v>
      </c>
      <c r="W277" s="672">
        <v>13436.841577899919</v>
      </c>
      <c r="X277" s="41">
        <v>2163673.7259455486</v>
      </c>
      <c r="Y277" s="672"/>
      <c r="Z277" s="734">
        <v>6.7000000000000002E-3</v>
      </c>
      <c r="AA277" s="434">
        <f t="shared" si="36"/>
        <v>15115475.441090791</v>
      </c>
      <c r="AB277" s="42">
        <f t="shared" si="32"/>
        <v>0.29937027238313912</v>
      </c>
      <c r="AC277" s="42">
        <f t="shared" si="33"/>
        <v>3.5219774037322453E-2</v>
      </c>
      <c r="AD277" s="42">
        <f t="shared" si="34"/>
        <v>6.8728852234018409E-3</v>
      </c>
      <c r="AE277" s="42">
        <f t="shared" si="35"/>
        <v>8.0856880887248198E-4</v>
      </c>
      <c r="AF277" s="721">
        <f t="shared" si="37"/>
        <v>2.9657807963663831E-2</v>
      </c>
    </row>
    <row r="278" spans="1:32">
      <c r="A278" s="103" t="s">
        <v>1274</v>
      </c>
      <c r="B278" s="40" t="s">
        <v>1275</v>
      </c>
      <c r="C278" s="40" t="s">
        <v>1394</v>
      </c>
      <c r="D278" s="40" t="s">
        <v>43</v>
      </c>
      <c r="E278" s="40" t="s">
        <v>44</v>
      </c>
      <c r="F278" s="40" t="s">
        <v>55</v>
      </c>
      <c r="G278" s="40" t="s">
        <v>58</v>
      </c>
      <c r="H278" s="40" t="s">
        <v>62</v>
      </c>
      <c r="I278" s="40" t="s">
        <v>46</v>
      </c>
      <c r="J278" s="41">
        <v>497386999.85042733</v>
      </c>
      <c r="K278" s="444">
        <v>8.0000000000000002E-3</v>
      </c>
      <c r="L278" s="444"/>
      <c r="M278" s="444"/>
      <c r="N278" s="444">
        <v>1E-3</v>
      </c>
      <c r="O278" s="42">
        <v>1.2999999999999999E-2</v>
      </c>
      <c r="P278" s="444">
        <v>2.1999999999999999E-2</v>
      </c>
      <c r="Q278" s="434">
        <v>10511672</v>
      </c>
      <c r="R278" s="41">
        <v>4108993</v>
      </c>
      <c r="S278" s="672"/>
      <c r="T278" s="41">
        <v>4345010.6876126966</v>
      </c>
      <c r="U278" s="41">
        <v>400554</v>
      </c>
      <c r="V278" s="41">
        <v>1628650</v>
      </c>
      <c r="W278" s="672">
        <v>28464</v>
      </c>
      <c r="X278" s="41"/>
      <c r="Y278" s="672"/>
      <c r="Z278" s="734">
        <v>1.7299999999999999E-2</v>
      </c>
      <c r="AA278" s="434">
        <f t="shared" si="36"/>
        <v>10483207.687612697</v>
      </c>
      <c r="AB278" s="42">
        <f t="shared" si="32"/>
        <v>0.39195951491596615</v>
      </c>
      <c r="AC278" s="42">
        <f t="shared" si="33"/>
        <v>3.8209106595618415E-2</v>
      </c>
      <c r="AD278" s="42">
        <f t="shared" si="34"/>
        <v>8.2611588184565415E-3</v>
      </c>
      <c r="AE278" s="42">
        <f t="shared" si="35"/>
        <v>8.0531658471261485E-4</v>
      </c>
      <c r="AF278" s="721">
        <f t="shared" si="37"/>
        <v>3.8376561491886951E-2</v>
      </c>
    </row>
    <row r="279" spans="1:32">
      <c r="A279" s="103" t="s">
        <v>1276</v>
      </c>
      <c r="B279" s="40" t="s">
        <v>1277</v>
      </c>
      <c r="C279" s="40" t="s">
        <v>1394</v>
      </c>
      <c r="D279" s="40" t="s">
        <v>43</v>
      </c>
      <c r="E279" s="40" t="s">
        <v>44</v>
      </c>
      <c r="F279" s="40" t="s">
        <v>884</v>
      </c>
      <c r="G279" s="40" t="s">
        <v>622</v>
      </c>
      <c r="H279" s="40" t="s">
        <v>45</v>
      </c>
      <c r="I279" s="40" t="s">
        <v>46</v>
      </c>
      <c r="J279" s="41">
        <v>3432216853.3018866</v>
      </c>
      <c r="K279" s="444">
        <v>4.8000000000000001E-2</v>
      </c>
      <c r="L279" s="444"/>
      <c r="M279" s="444"/>
      <c r="N279" s="444">
        <v>1E-3</v>
      </c>
      <c r="O279" s="42">
        <v>4.4499999999999998E-2</v>
      </c>
      <c r="P279" s="444">
        <v>9.35E-2</v>
      </c>
      <c r="Q279" s="434">
        <v>8653832</v>
      </c>
      <c r="R279" s="41">
        <v>6187122</v>
      </c>
      <c r="S279" s="672"/>
      <c r="T279" s="41"/>
      <c r="U279" s="41">
        <v>1198996</v>
      </c>
      <c r="V279" s="41">
        <v>1267714</v>
      </c>
      <c r="W279" s="672">
        <v>0</v>
      </c>
      <c r="X279" s="41"/>
      <c r="Y279" s="672"/>
      <c r="Z279" s="734"/>
      <c r="AA279" s="434">
        <f t="shared" si="36"/>
        <v>8653832</v>
      </c>
      <c r="AB279" s="42">
        <f t="shared" si="32"/>
        <v>0.71495748935269365</v>
      </c>
      <c r="AC279" s="42">
        <f t="shared" si="33"/>
        <v>0.13855087549654305</v>
      </c>
      <c r="AD279" s="42">
        <f t="shared" si="34"/>
        <v>1.8026605731650725E-3</v>
      </c>
      <c r="AE279" s="42">
        <f t="shared" si="35"/>
        <v>3.4933573583689303E-4</v>
      </c>
      <c r="AF279" s="721">
        <f t="shared" si="37"/>
        <v>2.521353507041601E-3</v>
      </c>
    </row>
    <row r="280" spans="1:32">
      <c r="A280" s="103" t="s">
        <v>1278</v>
      </c>
      <c r="B280" s="40" t="s">
        <v>1279</v>
      </c>
      <c r="C280" s="40" t="s">
        <v>1394</v>
      </c>
      <c r="D280" s="40" t="s">
        <v>43</v>
      </c>
      <c r="E280" s="40" t="s">
        <v>44</v>
      </c>
      <c r="F280" s="40" t="s">
        <v>884</v>
      </c>
      <c r="G280" s="40" t="s">
        <v>622</v>
      </c>
      <c r="H280" s="40" t="s">
        <v>45</v>
      </c>
      <c r="I280" s="40" t="s">
        <v>46</v>
      </c>
      <c r="J280" s="41">
        <v>2791023526.4067798</v>
      </c>
      <c r="K280" s="444">
        <v>4.8000000000000001E-2</v>
      </c>
      <c r="L280" s="444"/>
      <c r="M280" s="444"/>
      <c r="N280" s="444">
        <v>1E-3</v>
      </c>
      <c r="O280" s="42">
        <v>4.4499999999999998E-2</v>
      </c>
      <c r="P280" s="444">
        <v>9.35E-2</v>
      </c>
      <c r="Q280" s="434">
        <v>7595876</v>
      </c>
      <c r="R280" s="41">
        <v>5127890</v>
      </c>
      <c r="S280" s="672"/>
      <c r="T280" s="41"/>
      <c r="U280" s="41">
        <v>1200272</v>
      </c>
      <c r="V280" s="41">
        <v>1267714</v>
      </c>
      <c r="W280" s="672">
        <v>0</v>
      </c>
      <c r="X280" s="41"/>
      <c r="Y280" s="672"/>
      <c r="Z280" s="734"/>
      <c r="AA280" s="434">
        <f t="shared" si="36"/>
        <v>7595876</v>
      </c>
      <c r="AB280" s="42">
        <f t="shared" si="32"/>
        <v>0.6750886928643911</v>
      </c>
      <c r="AC280" s="42">
        <f t="shared" si="33"/>
        <v>0.15801627093438597</v>
      </c>
      <c r="AD280" s="42">
        <f t="shared" si="34"/>
        <v>1.8372793892575136E-3</v>
      </c>
      <c r="AE280" s="42">
        <f t="shared" si="35"/>
        <v>4.3004725278874824E-4</v>
      </c>
      <c r="AF280" s="721">
        <f t="shared" si="37"/>
        <v>2.7215377900375796E-3</v>
      </c>
    </row>
    <row r="281" spans="1:32">
      <c r="A281" s="103" t="s">
        <v>1280</v>
      </c>
      <c r="B281" s="40" t="s">
        <v>1281</v>
      </c>
      <c r="C281" s="40" t="s">
        <v>1394</v>
      </c>
      <c r="D281" s="40" t="s">
        <v>553</v>
      </c>
      <c r="E281" s="40" t="s">
        <v>621</v>
      </c>
      <c r="F281" s="40" t="s">
        <v>884</v>
      </c>
      <c r="G281" s="40" t="s">
        <v>622</v>
      </c>
      <c r="H281" s="40" t="s">
        <v>45</v>
      </c>
      <c r="I281" s="40" t="s">
        <v>46</v>
      </c>
      <c r="J281" s="41">
        <v>3165352781.4879999</v>
      </c>
      <c r="K281" s="444">
        <v>0.05</v>
      </c>
      <c r="L281" s="444"/>
      <c r="M281" s="444"/>
      <c r="N281" s="444">
        <v>1E-3</v>
      </c>
      <c r="O281" s="42">
        <v>6.7000000000000004E-2</v>
      </c>
      <c r="P281" s="444">
        <v>0.11800000000000001</v>
      </c>
      <c r="Q281" s="434">
        <v>8943145</v>
      </c>
      <c r="R281" s="41">
        <v>6631545</v>
      </c>
      <c r="S281" s="672"/>
      <c r="T281" s="41"/>
      <c r="U281" s="41">
        <v>1291536</v>
      </c>
      <c r="V281" s="41">
        <v>1020064</v>
      </c>
      <c r="W281" s="672">
        <v>0</v>
      </c>
      <c r="X281" s="41"/>
      <c r="Y281" s="672"/>
      <c r="Z281" s="734"/>
      <c r="AA281" s="434">
        <f t="shared" si="36"/>
        <v>8943145</v>
      </c>
      <c r="AB281" s="42">
        <f t="shared" si="32"/>
        <v>0.74152269699306006</v>
      </c>
      <c r="AC281" s="42">
        <f t="shared" si="33"/>
        <v>0.14441630992229243</v>
      </c>
      <c r="AD281" s="42">
        <f t="shared" si="34"/>
        <v>2.0950413611978435E-3</v>
      </c>
      <c r="AE281" s="42">
        <f t="shared" si="35"/>
        <v>4.0802276686292837E-4</v>
      </c>
      <c r="AF281" s="721">
        <f t="shared" si="37"/>
        <v>2.8253233106598371E-3</v>
      </c>
    </row>
    <row r="282" spans="1:32">
      <c r="A282" s="103" t="s">
        <v>1282</v>
      </c>
      <c r="B282" s="40" t="s">
        <v>1283</v>
      </c>
      <c r="C282" s="40" t="s">
        <v>1394</v>
      </c>
      <c r="D282" s="40" t="s">
        <v>553</v>
      </c>
      <c r="E282" s="40" t="s">
        <v>621</v>
      </c>
      <c r="F282" s="40" t="s">
        <v>884</v>
      </c>
      <c r="G282" s="40" t="s">
        <v>622</v>
      </c>
      <c r="H282" s="40" t="s">
        <v>45</v>
      </c>
      <c r="I282" s="40" t="s">
        <v>46</v>
      </c>
      <c r="J282" s="41">
        <v>622864224.23505974</v>
      </c>
      <c r="K282" s="444">
        <v>0.05</v>
      </c>
      <c r="L282" s="444"/>
      <c r="M282" s="444"/>
      <c r="N282" s="444">
        <v>1E-3</v>
      </c>
      <c r="O282" s="42">
        <v>6.7000000000000004E-2</v>
      </c>
      <c r="P282" s="444">
        <v>0.11800000000000001</v>
      </c>
      <c r="Q282" s="434">
        <v>3200807</v>
      </c>
      <c r="R282" s="41">
        <v>1927988</v>
      </c>
      <c r="S282" s="672"/>
      <c r="T282" s="41"/>
      <c r="U282" s="41">
        <v>252755</v>
      </c>
      <c r="V282" s="41">
        <v>1020064</v>
      </c>
      <c r="W282" s="672">
        <v>0</v>
      </c>
      <c r="X282" s="41"/>
      <c r="Y282" s="672"/>
      <c r="Z282" s="734"/>
      <c r="AA282" s="434">
        <f t="shared" si="36"/>
        <v>3200807</v>
      </c>
      <c r="AB282" s="42">
        <f t="shared" si="32"/>
        <v>0.60234434628517119</v>
      </c>
      <c r="AC282" s="42">
        <f t="shared" si="33"/>
        <v>7.8966023256010126E-2</v>
      </c>
      <c r="AD282" s="42">
        <f t="shared" si="34"/>
        <v>3.0953583862803557E-3</v>
      </c>
      <c r="AE282" s="42">
        <f t="shared" si="35"/>
        <v>4.0579469837171767E-4</v>
      </c>
      <c r="AF282" s="721">
        <f t="shared" si="37"/>
        <v>5.1388518965444106E-3</v>
      </c>
    </row>
    <row r="283" spans="1:32">
      <c r="A283" s="103" t="s">
        <v>1284</v>
      </c>
      <c r="B283" s="40" t="s">
        <v>1285</v>
      </c>
      <c r="C283" s="40" t="s">
        <v>1394</v>
      </c>
      <c r="D283" s="40" t="s">
        <v>43</v>
      </c>
      <c r="E283" s="40" t="s">
        <v>44</v>
      </c>
      <c r="F283" s="40" t="s">
        <v>55</v>
      </c>
      <c r="G283" s="40" t="s">
        <v>830</v>
      </c>
      <c r="H283" s="40" t="s">
        <v>45</v>
      </c>
      <c r="I283" s="40" t="s">
        <v>46</v>
      </c>
      <c r="J283" s="41">
        <v>5780056617.2540998</v>
      </c>
      <c r="K283" s="444">
        <v>5.0000000000000001E-3</v>
      </c>
      <c r="L283" s="444"/>
      <c r="M283" s="444"/>
      <c r="N283" s="444">
        <v>1E-3</v>
      </c>
      <c r="O283" s="42">
        <v>4.0000000000000001E-3</v>
      </c>
      <c r="P283" s="444">
        <v>0.01</v>
      </c>
      <c r="Q283" s="434">
        <v>92468046</v>
      </c>
      <c r="R283" s="41">
        <v>33519861</v>
      </c>
      <c r="S283" s="672"/>
      <c r="T283" s="41">
        <v>34094634.846936956</v>
      </c>
      <c r="U283" s="41"/>
      <c r="V283" s="41">
        <v>1458000</v>
      </c>
      <c r="W283" s="672">
        <v>23395550.390000001</v>
      </c>
      <c r="X283" s="41"/>
      <c r="Y283" s="672"/>
      <c r="Z283" s="734">
        <v>8.0000000000000002E-3</v>
      </c>
      <c r="AA283" s="434">
        <f t="shared" si="36"/>
        <v>69072495.846936956</v>
      </c>
      <c r="AB283" s="42">
        <f t="shared" si="32"/>
        <v>0.4852852150337702</v>
      </c>
      <c r="AC283" s="42">
        <f t="shared" si="33"/>
        <v>0</v>
      </c>
      <c r="AD283" s="42">
        <f t="shared" si="34"/>
        <v>5.7992271044438482E-3</v>
      </c>
      <c r="AE283" s="42">
        <f t="shared" si="35"/>
        <v>0</v>
      </c>
      <c r="AF283" s="721">
        <f t="shared" si="37"/>
        <v>1.9950141740955968E-2</v>
      </c>
    </row>
    <row r="284" spans="1:32">
      <c r="A284" s="103" t="s">
        <v>1286</v>
      </c>
      <c r="B284" s="40" t="s">
        <v>1287</v>
      </c>
      <c r="C284" s="40" t="s">
        <v>1394</v>
      </c>
      <c r="D284" s="40" t="s">
        <v>43</v>
      </c>
      <c r="E284" s="40" t="s">
        <v>44</v>
      </c>
      <c r="F284" s="40" t="s">
        <v>1348</v>
      </c>
      <c r="G284" s="40" t="s">
        <v>58</v>
      </c>
      <c r="H284" s="40" t="s">
        <v>62</v>
      </c>
      <c r="I284" s="40" t="s">
        <v>46</v>
      </c>
      <c r="J284" s="41">
        <v>491206924.02953589</v>
      </c>
      <c r="K284" s="444">
        <v>8.0000000000000002E-3</v>
      </c>
      <c r="L284" s="444"/>
      <c r="M284" s="444"/>
      <c r="N284" s="444">
        <v>1E-3</v>
      </c>
      <c r="O284" s="42">
        <v>1.2999999999999999E-2</v>
      </c>
      <c r="P284" s="444">
        <v>2.1999999999999999E-2</v>
      </c>
      <c r="Q284" s="434">
        <v>12301005</v>
      </c>
      <c r="R284" s="41">
        <v>3333139</v>
      </c>
      <c r="S284" s="672"/>
      <c r="T284" s="41">
        <v>5042884.8315480128</v>
      </c>
      <c r="U284" s="41">
        <v>394994</v>
      </c>
      <c r="V284" s="41">
        <v>2100010</v>
      </c>
      <c r="W284" s="672">
        <v>16510</v>
      </c>
      <c r="X284" s="41">
        <v>1413466.8499999996</v>
      </c>
      <c r="Y284" s="672"/>
      <c r="Z284" s="734"/>
      <c r="AA284" s="434">
        <f t="shared" si="36"/>
        <v>12284494.681548012</v>
      </c>
      <c r="AB284" s="42">
        <f t="shared" si="32"/>
        <v>0.27132894648133621</v>
      </c>
      <c r="AC284" s="42">
        <f t="shared" si="33"/>
        <v>3.2153866336342082E-2</v>
      </c>
      <c r="AD284" s="42">
        <f t="shared" si="34"/>
        <v>6.7856107822282675E-3</v>
      </c>
      <c r="AE284" s="42">
        <f t="shared" si="35"/>
        <v>8.0412954434707707E-4</v>
      </c>
      <c r="AF284" s="721">
        <f t="shared" si="37"/>
        <v>2.500879788251795E-2</v>
      </c>
    </row>
    <row r="285" spans="1:32">
      <c r="A285" s="103" t="s">
        <v>1288</v>
      </c>
      <c r="B285" s="40" t="s">
        <v>1289</v>
      </c>
      <c r="C285" s="40" t="s">
        <v>1394</v>
      </c>
      <c r="D285" s="40" t="s">
        <v>553</v>
      </c>
      <c r="E285" s="40" t="s">
        <v>621</v>
      </c>
      <c r="F285" s="40" t="s">
        <v>884</v>
      </c>
      <c r="G285" s="40" t="s">
        <v>622</v>
      </c>
      <c r="H285" s="40" t="s">
        <v>45</v>
      </c>
      <c r="I285" s="40" t="s">
        <v>46</v>
      </c>
      <c r="J285" s="41">
        <v>3158037856.4621515</v>
      </c>
      <c r="K285" s="444">
        <v>0.05</v>
      </c>
      <c r="L285" s="444"/>
      <c r="M285" s="444"/>
      <c r="N285" s="444">
        <v>1E-3</v>
      </c>
      <c r="O285" s="42">
        <v>6.7000000000000004E-2</v>
      </c>
      <c r="P285" s="444">
        <v>0.11800000000000001</v>
      </c>
      <c r="Q285" s="434">
        <v>8450112</v>
      </c>
      <c r="R285" s="41">
        <v>6386045</v>
      </c>
      <c r="S285" s="672"/>
      <c r="T285" s="41"/>
      <c r="U285" s="41">
        <v>1044003</v>
      </c>
      <c r="V285" s="41">
        <v>1020064</v>
      </c>
      <c r="W285" s="672">
        <v>0</v>
      </c>
      <c r="X285" s="41"/>
      <c r="Y285" s="672"/>
      <c r="Z285" s="734"/>
      <c r="AA285" s="434">
        <f t="shared" si="36"/>
        <v>8450112</v>
      </c>
      <c r="AB285" s="42">
        <f t="shared" si="32"/>
        <v>0.75573495357221299</v>
      </c>
      <c r="AC285" s="42">
        <f t="shared" si="33"/>
        <v>0.1235490133148531</v>
      </c>
      <c r="AD285" s="42">
        <f t="shared" si="34"/>
        <v>2.022155936773374E-3</v>
      </c>
      <c r="AE285" s="42">
        <f t="shared" si="35"/>
        <v>3.3058596744294985E-4</v>
      </c>
      <c r="AF285" s="721">
        <f t="shared" si="37"/>
        <v>2.6757475318761343E-3</v>
      </c>
    </row>
    <row r="286" spans="1:32">
      <c r="A286" s="103" t="s">
        <v>1290</v>
      </c>
      <c r="B286" s="40" t="s">
        <v>1291</v>
      </c>
      <c r="C286" s="40" t="s">
        <v>1394</v>
      </c>
      <c r="D286" s="40" t="s">
        <v>553</v>
      </c>
      <c r="E286" s="40" t="s">
        <v>621</v>
      </c>
      <c r="F286" s="40" t="s">
        <v>884</v>
      </c>
      <c r="G286" s="40" t="s">
        <v>622</v>
      </c>
      <c r="H286" s="40" t="s">
        <v>45</v>
      </c>
      <c r="I286" s="40" t="s">
        <v>46</v>
      </c>
      <c r="J286" s="41">
        <v>256766478.07569721</v>
      </c>
      <c r="K286" s="444">
        <v>0.05</v>
      </c>
      <c r="L286" s="444"/>
      <c r="M286" s="444"/>
      <c r="N286" s="444">
        <v>1E-3</v>
      </c>
      <c r="O286" s="42">
        <v>6.7000000000000004E-2</v>
      </c>
      <c r="P286" s="444">
        <v>0.11800000000000001</v>
      </c>
      <c r="Q286" s="434">
        <v>598500</v>
      </c>
      <c r="R286" s="41">
        <v>598500</v>
      </c>
      <c r="S286" s="672"/>
      <c r="T286" s="41"/>
      <c r="U286" s="41">
        <v>0</v>
      </c>
      <c r="V286" s="41">
        <v>0</v>
      </c>
      <c r="W286" s="672">
        <v>0</v>
      </c>
      <c r="X286" s="41"/>
      <c r="Y286" s="672"/>
      <c r="Z286" s="734"/>
      <c r="AA286" s="434">
        <f t="shared" si="36"/>
        <v>598500</v>
      </c>
      <c r="AB286" s="42">
        <f t="shared" si="32"/>
        <v>1</v>
      </c>
      <c r="AC286" s="42">
        <f t="shared" si="33"/>
        <v>0</v>
      </c>
      <c r="AD286" s="42">
        <f t="shared" si="34"/>
        <v>2.3309117470683089E-3</v>
      </c>
      <c r="AE286" s="42">
        <f t="shared" si="35"/>
        <v>0</v>
      </c>
      <c r="AF286" s="721">
        <f t="shared" si="37"/>
        <v>2.3309117470683089E-3</v>
      </c>
    </row>
    <row r="287" spans="1:32">
      <c r="A287" s="103" t="s">
        <v>1292</v>
      </c>
      <c r="B287" s="40" t="s">
        <v>1293</v>
      </c>
      <c r="C287" s="40" t="s">
        <v>1394</v>
      </c>
      <c r="D287" s="40" t="s">
        <v>43</v>
      </c>
      <c r="E287" s="40" t="s">
        <v>44</v>
      </c>
      <c r="F287" s="40" t="s">
        <v>1348</v>
      </c>
      <c r="G287" s="40" t="s">
        <v>641</v>
      </c>
      <c r="H287" s="40" t="s">
        <v>62</v>
      </c>
      <c r="I287" s="40" t="s">
        <v>239</v>
      </c>
      <c r="J287" s="41">
        <v>58111263.98026906</v>
      </c>
      <c r="K287" s="444">
        <v>5.4999999999999997E-3</v>
      </c>
      <c r="L287" s="444"/>
      <c r="M287" s="444"/>
      <c r="N287" s="444">
        <v>1E-3</v>
      </c>
      <c r="O287" s="42">
        <v>0.01</v>
      </c>
      <c r="P287" s="444">
        <v>1.6500000000000001E-2</v>
      </c>
      <c r="Q287" s="434">
        <v>329429</v>
      </c>
      <c r="R287" s="41">
        <v>124986</v>
      </c>
      <c r="S287" s="672"/>
      <c r="T287" s="41">
        <v>176997.64057857537</v>
      </c>
      <c r="U287" s="41">
        <v>4716.4699999999993</v>
      </c>
      <c r="V287" s="41">
        <v>22555.78</v>
      </c>
      <c r="W287" s="672">
        <v>173.32000000000002</v>
      </c>
      <c r="X287" s="41"/>
      <c r="Y287" s="672"/>
      <c r="Z287" s="734"/>
      <c r="AA287" s="434">
        <f t="shared" si="36"/>
        <v>329255.89057857532</v>
      </c>
      <c r="AB287" s="42">
        <f t="shared" si="32"/>
        <v>0.37960140904501966</v>
      </c>
      <c r="AC287" s="42">
        <f t="shared" si="33"/>
        <v>1.4324633620714029E-2</v>
      </c>
      <c r="AD287" s="42">
        <f t="shared" si="34"/>
        <v>2.150805049472636E-3</v>
      </c>
      <c r="AE287" s="42">
        <f t="shared" si="35"/>
        <v>8.1162750161507707E-5</v>
      </c>
      <c r="AF287" s="721">
        <f t="shared" si="37"/>
        <v>5.6659564433217281E-3</v>
      </c>
    </row>
    <row r="288" spans="1:32">
      <c r="A288" s="103" t="s">
        <v>1294</v>
      </c>
      <c r="B288" s="40" t="s">
        <v>1295</v>
      </c>
      <c r="C288" s="40" t="s">
        <v>1394</v>
      </c>
      <c r="D288" s="40" t="s">
        <v>43</v>
      </c>
      <c r="E288" s="40" t="s">
        <v>44</v>
      </c>
      <c r="F288" s="40" t="s">
        <v>1348</v>
      </c>
      <c r="G288" s="40" t="s">
        <v>641</v>
      </c>
      <c r="H288" s="40" t="s">
        <v>62</v>
      </c>
      <c r="I288" s="40" t="s">
        <v>69</v>
      </c>
      <c r="J288" s="41">
        <v>148437009.59791169</v>
      </c>
      <c r="K288" s="444">
        <v>8.0000000000000002E-3</v>
      </c>
      <c r="L288" s="444"/>
      <c r="M288" s="444"/>
      <c r="N288" s="444">
        <v>1E-3</v>
      </c>
      <c r="O288" s="42">
        <v>1.2999999999999999E-2</v>
      </c>
      <c r="P288" s="444">
        <v>2.1999999999999999E-2</v>
      </c>
      <c r="Q288" s="434">
        <v>857493</v>
      </c>
      <c r="R288" s="41">
        <v>254637</v>
      </c>
      <c r="S288" s="672"/>
      <c r="T288" s="41">
        <v>484025.64236148243</v>
      </c>
      <c r="U288" s="41">
        <v>74893.31</v>
      </c>
      <c r="V288" s="41">
        <v>43872.45</v>
      </c>
      <c r="W288" s="672">
        <v>64.599999999999994</v>
      </c>
      <c r="X288" s="41"/>
      <c r="Y288" s="672"/>
      <c r="Z288" s="734"/>
      <c r="AA288" s="434">
        <f t="shared" si="36"/>
        <v>857428.40236148238</v>
      </c>
      <c r="AB288" s="42">
        <f t="shared" si="32"/>
        <v>0.29697756605530296</v>
      </c>
      <c r="AC288" s="42">
        <f t="shared" si="33"/>
        <v>8.7346430085279356E-2</v>
      </c>
      <c r="AD288" s="42">
        <f t="shared" si="34"/>
        <v>1.7154549306117415E-3</v>
      </c>
      <c r="AE288" s="42">
        <f t="shared" si="35"/>
        <v>5.0454607111037923E-4</v>
      </c>
      <c r="AF288" s="721">
        <f t="shared" si="37"/>
        <v>5.7763788470550359E-3</v>
      </c>
    </row>
    <row r="289" spans="1:32">
      <c r="A289" s="103" t="s">
        <v>1296</v>
      </c>
      <c r="B289" s="40" t="s">
        <v>1297</v>
      </c>
      <c r="C289" s="40" t="s">
        <v>1394</v>
      </c>
      <c r="D289" s="40" t="s">
        <v>43</v>
      </c>
      <c r="E289" s="40" t="s">
        <v>44</v>
      </c>
      <c r="F289" s="40" t="s">
        <v>1348</v>
      </c>
      <c r="G289" s="40" t="s">
        <v>641</v>
      </c>
      <c r="H289" s="40" t="s">
        <v>45</v>
      </c>
      <c r="I289" s="40" t="s">
        <v>46</v>
      </c>
      <c r="J289" s="41">
        <v>260387283479.4502</v>
      </c>
      <c r="K289" s="444">
        <v>5.4999999999999997E-3</v>
      </c>
      <c r="L289" s="444"/>
      <c r="M289" s="444"/>
      <c r="N289" s="444">
        <v>1E-3</v>
      </c>
      <c r="O289" s="42">
        <v>0.01</v>
      </c>
      <c r="P289" s="444">
        <v>1.6500000000000001E-2</v>
      </c>
      <c r="Q289" s="434">
        <v>4005276024</v>
      </c>
      <c r="R289" s="41">
        <v>1397370346</v>
      </c>
      <c r="S289" s="672"/>
      <c r="T289" s="41">
        <v>2327713532.7254248</v>
      </c>
      <c r="U289" s="41">
        <v>209901892</v>
      </c>
      <c r="V289" s="41">
        <v>70266020.704076037</v>
      </c>
      <c r="W289" s="672">
        <v>24232.158576188373</v>
      </c>
      <c r="X289" s="41"/>
      <c r="Y289" s="672"/>
      <c r="Z289" s="734"/>
      <c r="AA289" s="434">
        <f t="shared" si="36"/>
        <v>4005251791.4295006</v>
      </c>
      <c r="AB289" s="42">
        <f t="shared" si="32"/>
        <v>0.34888451931789022</v>
      </c>
      <c r="AC289" s="42">
        <f t="shared" si="33"/>
        <v>5.2406665780451382E-2</v>
      </c>
      <c r="AD289" s="42">
        <f t="shared" si="34"/>
        <v>5.3665076394188837E-3</v>
      </c>
      <c r="AE289" s="42">
        <f t="shared" si="35"/>
        <v>8.0611422030740407E-4</v>
      </c>
      <c r="AF289" s="721">
        <f t="shared" si="37"/>
        <v>1.5381902441274924E-2</v>
      </c>
    </row>
    <row r="290" spans="1:32">
      <c r="A290" s="103" t="s">
        <v>1298</v>
      </c>
      <c r="B290" s="40" t="s">
        <v>1299</v>
      </c>
      <c r="C290" s="40" t="s">
        <v>1394</v>
      </c>
      <c r="D290" s="40" t="s">
        <v>43</v>
      </c>
      <c r="E290" s="40" t="s">
        <v>44</v>
      </c>
      <c r="F290" s="40" t="s">
        <v>1348</v>
      </c>
      <c r="G290" s="40" t="s">
        <v>641</v>
      </c>
      <c r="H290" s="40" t="s">
        <v>45</v>
      </c>
      <c r="I290" s="40" t="s">
        <v>46</v>
      </c>
      <c r="J290" s="41">
        <v>666683438.60557771</v>
      </c>
      <c r="K290" s="444">
        <v>7.4999999999999997E-3</v>
      </c>
      <c r="L290" s="444"/>
      <c r="M290" s="444"/>
      <c r="N290" s="444">
        <v>1E-3</v>
      </c>
      <c r="O290" s="42">
        <v>1.2500000000000001E-2</v>
      </c>
      <c r="P290" s="444">
        <v>2.1000000000000001E-2</v>
      </c>
      <c r="Q290" s="434">
        <v>10266595</v>
      </c>
      <c r="R290" s="41">
        <v>3574091</v>
      </c>
      <c r="S290" s="672"/>
      <c r="T290" s="41">
        <v>5975532.9485919904</v>
      </c>
      <c r="U290" s="41">
        <v>537003</v>
      </c>
      <c r="V290" s="41">
        <v>179905.83746698656</v>
      </c>
      <c r="W290" s="672">
        <v>62.042886997144286</v>
      </c>
      <c r="X290" s="41"/>
      <c r="Y290" s="672"/>
      <c r="Z290" s="734"/>
      <c r="AA290" s="434">
        <f t="shared" si="36"/>
        <v>10266532.786058977</v>
      </c>
      <c r="AB290" s="42">
        <f t="shared" si="32"/>
        <v>0.34813028648321198</v>
      </c>
      <c r="AC290" s="42">
        <f t="shared" si="33"/>
        <v>5.230616910211415E-2</v>
      </c>
      <c r="AD290" s="42">
        <f t="shared" si="34"/>
        <v>5.3610016284122795E-3</v>
      </c>
      <c r="AE290" s="42">
        <f t="shared" si="35"/>
        <v>8.0548423570140748E-4</v>
      </c>
      <c r="AF290" s="721">
        <f t="shared" si="37"/>
        <v>1.5399411762098456E-2</v>
      </c>
    </row>
    <row r="291" spans="1:32">
      <c r="A291" s="103" t="s">
        <v>1300</v>
      </c>
      <c r="B291" s="40" t="s">
        <v>1301</v>
      </c>
      <c r="C291" s="40" t="s">
        <v>1394</v>
      </c>
      <c r="D291" s="40" t="s">
        <v>43</v>
      </c>
      <c r="E291" s="40" t="s">
        <v>44</v>
      </c>
      <c r="F291" s="40" t="s">
        <v>1348</v>
      </c>
      <c r="G291" s="40" t="s">
        <v>641</v>
      </c>
      <c r="H291" s="40" t="s">
        <v>45</v>
      </c>
      <c r="I291" s="40" t="s">
        <v>46</v>
      </c>
      <c r="J291" s="41">
        <v>5478053294.5737047</v>
      </c>
      <c r="K291" s="444">
        <v>2E-3</v>
      </c>
      <c r="L291" s="444"/>
      <c r="M291" s="444"/>
      <c r="N291" s="444">
        <v>1E-3</v>
      </c>
      <c r="O291" s="42">
        <v>5.0000000000000001E-3</v>
      </c>
      <c r="P291" s="444">
        <v>8.0000000000000002E-3</v>
      </c>
      <c r="Q291" s="434">
        <v>27523872</v>
      </c>
      <c r="R291" s="41">
        <v>8895839</v>
      </c>
      <c r="S291" s="672"/>
      <c r="T291" s="41">
        <v>14925292.481291365</v>
      </c>
      <c r="U291" s="41">
        <v>2223967</v>
      </c>
      <c r="V291" s="41">
        <v>1478263.4584569714</v>
      </c>
      <c r="W291" s="672">
        <v>509.79853681448094</v>
      </c>
      <c r="X291" s="41"/>
      <c r="Y291" s="672"/>
      <c r="Z291" s="734"/>
      <c r="AA291" s="434">
        <f t="shared" si="36"/>
        <v>27523361.939748336</v>
      </c>
      <c r="AB291" s="42">
        <f t="shared" si="32"/>
        <v>0.32321047913674095</v>
      </c>
      <c r="AC291" s="42">
        <f t="shared" si="33"/>
        <v>8.0802883196773284E-2</v>
      </c>
      <c r="AD291" s="42">
        <f t="shared" si="34"/>
        <v>1.6239051578435333E-3</v>
      </c>
      <c r="AE291" s="42">
        <f t="shared" si="35"/>
        <v>4.0597761292372866E-4</v>
      </c>
      <c r="AF291" s="721">
        <f t="shared" si="37"/>
        <v>5.0242961248682357E-3</v>
      </c>
    </row>
    <row r="292" spans="1:32">
      <c r="A292" s="103" t="s">
        <v>1302</v>
      </c>
      <c r="B292" s="40" t="s">
        <v>1303</v>
      </c>
      <c r="C292" s="40" t="s">
        <v>1394</v>
      </c>
      <c r="D292" s="40" t="s">
        <v>43</v>
      </c>
      <c r="E292" s="40" t="s">
        <v>44</v>
      </c>
      <c r="F292" s="40" t="s">
        <v>55</v>
      </c>
      <c r="G292" s="40" t="s">
        <v>58</v>
      </c>
      <c r="H292" s="40" t="s">
        <v>62</v>
      </c>
      <c r="I292" s="40" t="s">
        <v>46</v>
      </c>
      <c r="J292" s="41">
        <v>823337067.54811716</v>
      </c>
      <c r="K292" s="444">
        <v>8.0000000000000002E-3</v>
      </c>
      <c r="L292" s="444"/>
      <c r="M292" s="444"/>
      <c r="N292" s="444">
        <v>1E-3</v>
      </c>
      <c r="O292" s="42">
        <v>1.2999999999999999E-2</v>
      </c>
      <c r="P292" s="444">
        <v>2.1999999999999999E-2</v>
      </c>
      <c r="Q292" s="434">
        <v>18266458</v>
      </c>
      <c r="R292" s="41">
        <v>6313254</v>
      </c>
      <c r="S292" s="672"/>
      <c r="T292" s="41">
        <v>9942408.8266035039</v>
      </c>
      <c r="U292" s="41">
        <v>664915.73869815643</v>
      </c>
      <c r="V292" s="41">
        <v>1272774.119288618</v>
      </c>
      <c r="W292" s="672">
        <v>38047.074379693906</v>
      </c>
      <c r="X292" s="41">
        <v>35058.033178141173</v>
      </c>
      <c r="Y292" s="672"/>
      <c r="Z292" s="734">
        <v>8.8999999999999999E-3</v>
      </c>
      <c r="AA292" s="434">
        <f t="shared" si="36"/>
        <v>18228410.71776842</v>
      </c>
      <c r="AB292" s="42">
        <f t="shared" si="32"/>
        <v>0.34634143907269216</v>
      </c>
      <c r="AC292" s="42">
        <f t="shared" si="33"/>
        <v>3.6476890333067807E-2</v>
      </c>
      <c r="AD292" s="42">
        <f t="shared" si="34"/>
        <v>7.6678850604901781E-3</v>
      </c>
      <c r="AE292" s="42">
        <f t="shared" si="35"/>
        <v>8.0758630323576159E-4</v>
      </c>
      <c r="AF292" s="721">
        <f t="shared" si="37"/>
        <v>3.1039669688445216E-2</v>
      </c>
    </row>
    <row r="293" spans="1:32">
      <c r="A293" s="103" t="s">
        <v>1304</v>
      </c>
      <c r="B293" s="40" t="s">
        <v>1305</v>
      </c>
      <c r="C293" s="40" t="s">
        <v>1394</v>
      </c>
      <c r="D293" s="40" t="s">
        <v>43</v>
      </c>
      <c r="E293" s="40" t="s">
        <v>44</v>
      </c>
      <c r="F293" s="40" t="s">
        <v>55</v>
      </c>
      <c r="G293" s="40" t="s">
        <v>58</v>
      </c>
      <c r="H293" s="40" t="s">
        <v>62</v>
      </c>
      <c r="I293" s="40" t="s">
        <v>69</v>
      </c>
      <c r="J293" s="41">
        <v>201682793.09498709</v>
      </c>
      <c r="K293" s="444">
        <v>8.0000000000000002E-3</v>
      </c>
      <c r="L293" s="444"/>
      <c r="M293" s="444"/>
      <c r="N293" s="444">
        <v>1E-3</v>
      </c>
      <c r="O293" s="42">
        <v>1.2999999999999999E-2</v>
      </c>
      <c r="P293" s="444">
        <v>2.1999999999999999E-2</v>
      </c>
      <c r="Q293" s="434">
        <v>4459537</v>
      </c>
      <c r="R293" s="41">
        <v>1546481</v>
      </c>
      <c r="S293" s="672"/>
      <c r="T293" s="41">
        <v>2420496.3927472099</v>
      </c>
      <c r="U293" s="41">
        <v>162876.26130184359</v>
      </c>
      <c r="V293" s="41">
        <v>311775.88071138191</v>
      </c>
      <c r="W293" s="672">
        <v>9319.9256203060977</v>
      </c>
      <c r="X293" s="41">
        <v>8587.7368218588326</v>
      </c>
      <c r="Y293" s="672"/>
      <c r="Z293" s="734">
        <v>8.8999999999999999E-3</v>
      </c>
      <c r="AA293" s="434">
        <f t="shared" si="36"/>
        <v>4450217.2715822943</v>
      </c>
      <c r="AB293" s="42">
        <f t="shared" si="32"/>
        <v>0.34750685317666341</v>
      </c>
      <c r="AC293" s="42">
        <f t="shared" si="33"/>
        <v>3.6599620054939976E-2</v>
      </c>
      <c r="AD293" s="42">
        <f t="shared" si="34"/>
        <v>7.6678876579800714E-3</v>
      </c>
      <c r="AE293" s="42">
        <f t="shared" si="35"/>
        <v>8.0758630323576148E-4</v>
      </c>
      <c r="AF293" s="721">
        <f t="shared" si="37"/>
        <v>3.0965428603452368E-2</v>
      </c>
    </row>
    <row r="294" spans="1:32">
      <c r="A294" s="103" t="s">
        <v>1306</v>
      </c>
      <c r="B294" s="40" t="s">
        <v>1307</v>
      </c>
      <c r="C294" s="40" t="s">
        <v>1394</v>
      </c>
      <c r="D294" s="40" t="s">
        <v>43</v>
      </c>
      <c r="E294" s="40" t="s">
        <v>44</v>
      </c>
      <c r="F294" s="40" t="s">
        <v>55</v>
      </c>
      <c r="G294" s="40" t="s">
        <v>88</v>
      </c>
      <c r="H294" s="40" t="s">
        <v>45</v>
      </c>
      <c r="I294" s="40" t="s">
        <v>46</v>
      </c>
      <c r="J294" s="41">
        <v>22448020803.032257</v>
      </c>
      <c r="K294" s="444">
        <v>3.0000000000000001E-3</v>
      </c>
      <c r="L294" s="444"/>
      <c r="M294" s="444"/>
      <c r="N294" s="444">
        <v>1E-3</v>
      </c>
      <c r="O294" s="42">
        <v>6.0000000000000001E-3</v>
      </c>
      <c r="P294" s="444">
        <v>0.01</v>
      </c>
      <c r="Q294" s="434">
        <v>39683100</v>
      </c>
      <c r="R294" s="41">
        <v>13285521</v>
      </c>
      <c r="S294" s="672"/>
      <c r="T294" s="41">
        <v>18368744.676588014</v>
      </c>
      <c r="U294" s="41">
        <v>0</v>
      </c>
      <c r="V294" s="41">
        <v>7999150</v>
      </c>
      <c r="W294" s="672">
        <v>29684</v>
      </c>
      <c r="X294" s="41"/>
      <c r="Y294" s="672"/>
      <c r="Z294" s="734">
        <v>1.1900000000000001E-2</v>
      </c>
      <c r="AA294" s="434">
        <f t="shared" si="36"/>
        <v>39653415.676588014</v>
      </c>
      <c r="AB294" s="42">
        <f t="shared" si="32"/>
        <v>0.33504102416690362</v>
      </c>
      <c r="AC294" s="42">
        <f t="shared" si="33"/>
        <v>0</v>
      </c>
      <c r="AD294" s="42">
        <f t="shared" si="34"/>
        <v>5.9183484889703075E-4</v>
      </c>
      <c r="AE294" s="42">
        <f t="shared" si="35"/>
        <v>0</v>
      </c>
      <c r="AF294" s="721">
        <f t="shared" si="37"/>
        <v>1.3666454870321204E-2</v>
      </c>
    </row>
    <row r="295" spans="1:32">
      <c r="A295" s="103" t="s">
        <v>1308</v>
      </c>
      <c r="B295" s="40" t="s">
        <v>1309</v>
      </c>
      <c r="C295" s="40" t="s">
        <v>1394</v>
      </c>
      <c r="D295" s="40" t="s">
        <v>43</v>
      </c>
      <c r="E295" s="40" t="s">
        <v>44</v>
      </c>
      <c r="F295" s="40" t="s">
        <v>55</v>
      </c>
      <c r="G295" s="40" t="s">
        <v>88</v>
      </c>
      <c r="H295" s="40" t="s">
        <v>45</v>
      </c>
      <c r="I295" s="40" t="s">
        <v>46</v>
      </c>
      <c r="J295" s="41">
        <v>4773700150.5934963</v>
      </c>
      <c r="K295" s="444">
        <v>3.0000000000000001E-3</v>
      </c>
      <c r="L295" s="444"/>
      <c r="M295" s="444"/>
      <c r="N295" s="444">
        <v>1E-3</v>
      </c>
      <c r="O295" s="42">
        <v>6.0000000000000001E-3</v>
      </c>
      <c r="P295" s="444">
        <v>0.01</v>
      </c>
      <c r="Q295" s="434">
        <v>20173282</v>
      </c>
      <c r="R295" s="41">
        <v>6874896</v>
      </c>
      <c r="S295" s="672"/>
      <c r="T295" s="41">
        <v>9724725.5948717222</v>
      </c>
      <c r="U295" s="41">
        <v>0</v>
      </c>
      <c r="V295" s="41">
        <v>3544150</v>
      </c>
      <c r="W295" s="672">
        <v>29510</v>
      </c>
      <c r="X295" s="41"/>
      <c r="Y295" s="672"/>
      <c r="Z295" s="734">
        <v>1.03E-2</v>
      </c>
      <c r="AA295" s="434">
        <f t="shared" si="36"/>
        <v>20143771.594871722</v>
      </c>
      <c r="AB295" s="42">
        <f t="shared" si="32"/>
        <v>0.34129139955847382</v>
      </c>
      <c r="AC295" s="42">
        <f t="shared" si="33"/>
        <v>0</v>
      </c>
      <c r="AD295" s="42">
        <f t="shared" si="34"/>
        <v>1.4401608360645086E-3</v>
      </c>
      <c r="AE295" s="42">
        <f t="shared" si="35"/>
        <v>0</v>
      </c>
      <c r="AF295" s="721">
        <f t="shared" si="37"/>
        <v>1.4519739606470114E-2</v>
      </c>
    </row>
    <row r="296" spans="1:32">
      <c r="A296" s="103" t="s">
        <v>1310</v>
      </c>
      <c r="B296" s="40" t="s">
        <v>1311</v>
      </c>
      <c r="C296" s="40" t="s">
        <v>1394</v>
      </c>
      <c r="D296" s="40" t="s">
        <v>43</v>
      </c>
      <c r="E296" s="40" t="s">
        <v>44</v>
      </c>
      <c r="F296" s="40" t="s">
        <v>55</v>
      </c>
      <c r="G296" s="40" t="s">
        <v>830</v>
      </c>
      <c r="H296" s="40" t="s">
        <v>45</v>
      </c>
      <c r="I296" s="40" t="s">
        <v>46</v>
      </c>
      <c r="J296" s="41">
        <v>1910689401.7531381</v>
      </c>
      <c r="K296" s="444">
        <v>3.0000000000000001E-3</v>
      </c>
      <c r="L296" s="444"/>
      <c r="M296" s="444"/>
      <c r="N296" s="444">
        <v>1E-3</v>
      </c>
      <c r="O296" s="42">
        <v>6.0000000000000001E-3</v>
      </c>
      <c r="P296" s="444">
        <v>0.01</v>
      </c>
      <c r="Q296" s="434">
        <v>13295197</v>
      </c>
      <c r="R296" s="41">
        <v>4319789</v>
      </c>
      <c r="S296" s="672"/>
      <c r="T296" s="41">
        <v>6165247.5076082889</v>
      </c>
      <c r="U296" s="41">
        <v>0</v>
      </c>
      <c r="V296" s="41">
        <v>2783150</v>
      </c>
      <c r="W296" s="672">
        <v>27010</v>
      </c>
      <c r="X296" s="41"/>
      <c r="Y296" s="672"/>
      <c r="Z296" s="734">
        <v>7.7999999999999996E-3</v>
      </c>
      <c r="AA296" s="434">
        <f t="shared" si="36"/>
        <v>13268186.507608289</v>
      </c>
      <c r="AB296" s="42">
        <f t="shared" si="32"/>
        <v>0.32557493803112669</v>
      </c>
      <c r="AC296" s="42">
        <f t="shared" si="33"/>
        <v>0</v>
      </c>
      <c r="AD296" s="42">
        <f t="shared" si="34"/>
        <v>2.2608535934916536E-3</v>
      </c>
      <c r="AE296" s="42">
        <f t="shared" si="35"/>
        <v>0</v>
      </c>
      <c r="AF296" s="721">
        <f t="shared" si="37"/>
        <v>1.4744188048268948E-2</v>
      </c>
    </row>
    <row r="297" spans="1:32">
      <c r="A297" s="103" t="s">
        <v>1312</v>
      </c>
      <c r="B297" s="40" t="s">
        <v>1313</v>
      </c>
      <c r="C297" s="40" t="s">
        <v>1394</v>
      </c>
      <c r="D297" s="40" t="s">
        <v>43</v>
      </c>
      <c r="E297" s="40" t="s">
        <v>44</v>
      </c>
      <c r="F297" s="40" t="s">
        <v>55</v>
      </c>
      <c r="G297" s="40" t="s">
        <v>61</v>
      </c>
      <c r="H297" s="40" t="s">
        <v>62</v>
      </c>
      <c r="I297" s="40" t="s">
        <v>46</v>
      </c>
      <c r="J297" s="41">
        <v>924287972.07531381</v>
      </c>
      <c r="K297" s="444">
        <v>3.0000000000000001E-3</v>
      </c>
      <c r="L297" s="444"/>
      <c r="M297" s="444"/>
      <c r="N297" s="444">
        <v>1E-3</v>
      </c>
      <c r="O297" s="42">
        <v>6.0000000000000001E-3</v>
      </c>
      <c r="P297" s="444">
        <v>0.01</v>
      </c>
      <c r="Q297" s="434">
        <v>7865731</v>
      </c>
      <c r="R297" s="41">
        <v>2182453</v>
      </c>
      <c r="S297" s="672"/>
      <c r="T297" s="41">
        <v>3102618.2946895389</v>
      </c>
      <c r="U297" s="41">
        <v>0</v>
      </c>
      <c r="V297" s="41">
        <v>2556150</v>
      </c>
      <c r="W297" s="672">
        <v>24510</v>
      </c>
      <c r="X297" s="41"/>
      <c r="Y297" s="672"/>
      <c r="Z297" s="734">
        <v>1.2800000000000001E-2</v>
      </c>
      <c r="AA297" s="434">
        <f t="shared" si="36"/>
        <v>7841221.2946895389</v>
      </c>
      <c r="AB297" s="42">
        <f t="shared" si="32"/>
        <v>0.27833074950684844</v>
      </c>
      <c r="AC297" s="42">
        <f t="shared" si="33"/>
        <v>0</v>
      </c>
      <c r="AD297" s="42">
        <f t="shared" si="34"/>
        <v>2.3612262259560886E-3</v>
      </c>
      <c r="AE297" s="42">
        <f t="shared" si="35"/>
        <v>0</v>
      </c>
      <c r="AF297" s="721">
        <f t="shared" si="37"/>
        <v>2.1283526272751943E-2</v>
      </c>
    </row>
    <row r="298" spans="1:32">
      <c r="A298" s="103" t="s">
        <v>1314</v>
      </c>
      <c r="B298" s="40" t="s">
        <v>1315</v>
      </c>
      <c r="C298" s="40" t="s">
        <v>1394</v>
      </c>
      <c r="D298" s="40" t="s">
        <v>553</v>
      </c>
      <c r="E298" s="40" t="s">
        <v>621</v>
      </c>
      <c r="F298" s="40" t="s">
        <v>884</v>
      </c>
      <c r="G298" s="40" t="s">
        <v>622</v>
      </c>
      <c r="H298" s="40" t="s">
        <v>45</v>
      </c>
      <c r="I298" s="40" t="s">
        <v>46</v>
      </c>
      <c r="J298" s="41">
        <v>4131315846.6932273</v>
      </c>
      <c r="K298" s="444">
        <v>0.05</v>
      </c>
      <c r="L298" s="444"/>
      <c r="M298" s="444"/>
      <c r="N298" s="444">
        <v>1E-3</v>
      </c>
      <c r="O298" s="42">
        <v>6.7000000000000004E-2</v>
      </c>
      <c r="P298" s="444">
        <v>0.11800000000000001</v>
      </c>
      <c r="Q298" s="434">
        <v>12669294</v>
      </c>
      <c r="R298" s="41">
        <v>10035083</v>
      </c>
      <c r="S298" s="672"/>
      <c r="T298" s="41"/>
      <c r="U298" s="41">
        <v>1614147</v>
      </c>
      <c r="V298" s="41">
        <v>1020064</v>
      </c>
      <c r="W298" s="672">
        <v>0</v>
      </c>
      <c r="X298" s="41"/>
      <c r="Y298" s="672"/>
      <c r="Z298" s="734"/>
      <c r="AA298" s="434">
        <f t="shared" si="36"/>
        <v>12669294</v>
      </c>
      <c r="AB298" s="42">
        <f t="shared" si="32"/>
        <v>0.7920791008559751</v>
      </c>
      <c r="AC298" s="42">
        <f t="shared" si="33"/>
        <v>0.12740623116015778</v>
      </c>
      <c r="AD298" s="42">
        <f t="shared" si="34"/>
        <v>2.4290282738929883E-3</v>
      </c>
      <c r="AE298" s="42">
        <f t="shared" si="35"/>
        <v>3.9071014173171719E-4</v>
      </c>
      <c r="AF298" s="721">
        <f t="shared" si="37"/>
        <v>3.0666486103067404E-3</v>
      </c>
    </row>
    <row r="299" spans="1:32">
      <c r="A299" s="103" t="s">
        <v>1316</v>
      </c>
      <c r="B299" s="40" t="s">
        <v>1317</v>
      </c>
      <c r="C299" s="40" t="s">
        <v>1394</v>
      </c>
      <c r="D299" s="40" t="s">
        <v>553</v>
      </c>
      <c r="E299" s="40" t="s">
        <v>621</v>
      </c>
      <c r="F299" s="40" t="s">
        <v>884</v>
      </c>
      <c r="G299" s="40" t="s">
        <v>622</v>
      </c>
      <c r="H299" s="40" t="s">
        <v>45</v>
      </c>
      <c r="I299" s="40" t="s">
        <v>46</v>
      </c>
      <c r="J299" s="41">
        <v>2749281957.8326693</v>
      </c>
      <c r="K299" s="444">
        <v>0.05</v>
      </c>
      <c r="L299" s="444"/>
      <c r="M299" s="444"/>
      <c r="N299" s="444">
        <v>1E-3</v>
      </c>
      <c r="O299" s="42">
        <v>6.7000000000000004E-2</v>
      </c>
      <c r="P299" s="444">
        <v>0.11800000000000001</v>
      </c>
      <c r="Q299" s="434">
        <v>8411759</v>
      </c>
      <c r="R299" s="41">
        <v>6378107</v>
      </c>
      <c r="S299" s="672"/>
      <c r="T299" s="41"/>
      <c r="U299" s="41">
        <v>1013588</v>
      </c>
      <c r="V299" s="41">
        <v>1020064</v>
      </c>
      <c r="W299" s="672">
        <v>0</v>
      </c>
      <c r="X299" s="41"/>
      <c r="Y299" s="672"/>
      <c r="Z299" s="734"/>
      <c r="AA299" s="434">
        <f t="shared" si="36"/>
        <v>8411759</v>
      </c>
      <c r="AB299" s="42">
        <f t="shared" si="32"/>
        <v>0.75823701083209827</v>
      </c>
      <c r="AC299" s="42">
        <f t="shared" si="33"/>
        <v>0.12049655725990248</v>
      </c>
      <c r="AD299" s="42">
        <f t="shared" si="34"/>
        <v>2.3199173812743557E-3</v>
      </c>
      <c r="AE299" s="42">
        <f t="shared" si="35"/>
        <v>3.6867371755461482E-4</v>
      </c>
      <c r="AF299" s="721">
        <f t="shared" si="37"/>
        <v>3.0596203405165506E-3</v>
      </c>
    </row>
    <row r="300" spans="1:32">
      <c r="A300" s="103" t="s">
        <v>1318</v>
      </c>
      <c r="B300" s="40" t="s">
        <v>1319</v>
      </c>
      <c r="C300" s="40" t="s">
        <v>1394</v>
      </c>
      <c r="D300" s="40" t="s">
        <v>553</v>
      </c>
      <c r="E300" s="40" t="s">
        <v>621</v>
      </c>
      <c r="F300" s="40" t="s">
        <v>884</v>
      </c>
      <c r="G300" s="40" t="s">
        <v>622</v>
      </c>
      <c r="H300" s="40" t="s">
        <v>45</v>
      </c>
      <c r="I300" s="40" t="s">
        <v>46</v>
      </c>
      <c r="J300" s="41">
        <v>2948709.2460784316</v>
      </c>
      <c r="K300" s="444">
        <v>0.05</v>
      </c>
      <c r="L300" s="444"/>
      <c r="M300" s="444"/>
      <c r="N300" s="444">
        <v>1E-3</v>
      </c>
      <c r="O300" s="42">
        <v>6.7000000000000004E-2</v>
      </c>
      <c r="P300" s="444">
        <v>0.11800000000000001</v>
      </c>
      <c r="Q300" s="434">
        <v>34980</v>
      </c>
      <c r="R300" s="41">
        <v>11659</v>
      </c>
      <c r="S300" s="672"/>
      <c r="T300" s="41">
        <v>17489.07</v>
      </c>
      <c r="U300" s="41">
        <v>1166.1399999999999</v>
      </c>
      <c r="V300" s="41">
        <v>4665.78</v>
      </c>
      <c r="W300" s="672">
        <v>0</v>
      </c>
      <c r="X300" s="41"/>
      <c r="Y300" s="672"/>
      <c r="Z300" s="734"/>
      <c r="AA300" s="434">
        <f t="shared" si="36"/>
        <v>34979.99</v>
      </c>
      <c r="AB300" s="42">
        <f t="shared" si="32"/>
        <v>0.33330484085329931</v>
      </c>
      <c r="AC300" s="42">
        <f t="shared" si="33"/>
        <v>3.333734515075619E-2</v>
      </c>
      <c r="AD300" s="42">
        <f t="shared" si="34"/>
        <v>3.9539334084924176E-3</v>
      </c>
      <c r="AE300" s="42">
        <f t="shared" si="35"/>
        <v>3.9547473239380282E-4</v>
      </c>
      <c r="AF300" s="721">
        <f t="shared" si="37"/>
        <v>1.1862814228469909E-2</v>
      </c>
    </row>
    <row r="301" spans="1:32">
      <c r="A301" s="103" t="s">
        <v>1320</v>
      </c>
      <c r="B301" s="40" t="s">
        <v>1321</v>
      </c>
      <c r="C301" s="40" t="s">
        <v>1394</v>
      </c>
      <c r="D301" s="40" t="s">
        <v>553</v>
      </c>
      <c r="E301" s="40" t="s">
        <v>621</v>
      </c>
      <c r="F301" s="40" t="s">
        <v>884</v>
      </c>
      <c r="G301" s="40" t="s">
        <v>622</v>
      </c>
      <c r="H301" s="40" t="s">
        <v>45</v>
      </c>
      <c r="I301" s="40" t="s">
        <v>46</v>
      </c>
      <c r="J301" s="41">
        <v>1729825249.0196078</v>
      </c>
      <c r="K301" s="444">
        <v>0.05</v>
      </c>
      <c r="L301" s="444"/>
      <c r="M301" s="444"/>
      <c r="N301" s="444">
        <v>1E-3</v>
      </c>
      <c r="O301" s="42">
        <v>6.7000000000000004E-2</v>
      </c>
      <c r="P301" s="444">
        <v>0.11800000000000001</v>
      </c>
      <c r="Q301" s="434">
        <v>19226218</v>
      </c>
      <c r="R301" s="41">
        <v>6838129</v>
      </c>
      <c r="S301" s="672"/>
      <c r="T301" s="41">
        <v>10257206</v>
      </c>
      <c r="U301" s="41">
        <v>683819</v>
      </c>
      <c r="V301" s="41">
        <v>1447064</v>
      </c>
      <c r="W301" s="672">
        <v>0</v>
      </c>
      <c r="X301" s="41"/>
      <c r="Y301" s="672"/>
      <c r="Z301" s="734"/>
      <c r="AA301" s="434">
        <f t="shared" si="36"/>
        <v>19226218</v>
      </c>
      <c r="AB301" s="42">
        <f t="shared" si="32"/>
        <v>0.35566688154685439</v>
      </c>
      <c r="AC301" s="42">
        <f t="shared" si="33"/>
        <v>3.5567005429773028E-2</v>
      </c>
      <c r="AD301" s="42">
        <f t="shared" si="34"/>
        <v>3.9530750310619893E-3</v>
      </c>
      <c r="AE301" s="42">
        <f t="shared" si="35"/>
        <v>3.9531102947396556E-4</v>
      </c>
      <c r="AF301" s="721">
        <f t="shared" si="37"/>
        <v>1.1114543512933813E-2</v>
      </c>
    </row>
    <row r="302" spans="1:32">
      <c r="A302" s="103" t="s">
        <v>1322</v>
      </c>
      <c r="B302" s="40" t="s">
        <v>1323</v>
      </c>
      <c r="C302" s="40" t="s">
        <v>1394</v>
      </c>
      <c r="D302" s="40" t="s">
        <v>43</v>
      </c>
      <c r="E302" s="40" t="s">
        <v>44</v>
      </c>
      <c r="F302" s="40" t="s">
        <v>55</v>
      </c>
      <c r="G302" s="40" t="s">
        <v>88</v>
      </c>
      <c r="H302" s="40" t="s">
        <v>62</v>
      </c>
      <c r="I302" s="40" t="s">
        <v>46</v>
      </c>
      <c r="J302" s="41">
        <v>23727372499.612244</v>
      </c>
      <c r="K302" s="444"/>
      <c r="L302" s="444"/>
      <c r="M302" s="444"/>
      <c r="N302" s="444"/>
      <c r="O302" s="42"/>
      <c r="P302" s="444"/>
      <c r="Q302" s="434">
        <v>499509134</v>
      </c>
      <c r="R302" s="41">
        <v>143106202</v>
      </c>
      <c r="S302" s="672"/>
      <c r="T302" s="41">
        <v>179058122</v>
      </c>
      <c r="U302" s="41">
        <v>0</v>
      </c>
      <c r="V302" s="41">
        <v>5984000</v>
      </c>
      <c r="W302" s="672">
        <v>171360809.53669992</v>
      </c>
      <c r="X302" s="41"/>
      <c r="Y302" s="672"/>
      <c r="Z302" s="734">
        <v>1.8E-3</v>
      </c>
      <c r="AA302" s="434">
        <f t="shared" si="36"/>
        <v>328148324</v>
      </c>
      <c r="AB302" s="42">
        <f t="shared" si="32"/>
        <v>0.43610218774117526</v>
      </c>
      <c r="AC302" s="42">
        <f t="shared" si="33"/>
        <v>0</v>
      </c>
      <c r="AD302" s="42">
        <f t="shared" si="34"/>
        <v>6.0312705084534183E-3</v>
      </c>
      <c r="AE302" s="42">
        <f t="shared" si="35"/>
        <v>0</v>
      </c>
      <c r="AF302" s="721">
        <f t="shared" si="37"/>
        <v>1.5629947837897461E-2</v>
      </c>
    </row>
    <row r="303" spans="1:32">
      <c r="A303" s="103" t="s">
        <v>1324</v>
      </c>
      <c r="B303" s="40" t="s">
        <v>1325</v>
      </c>
      <c r="C303" s="40" t="s">
        <v>1394</v>
      </c>
      <c r="D303" s="40" t="s">
        <v>553</v>
      </c>
      <c r="E303" s="40" t="s">
        <v>621</v>
      </c>
      <c r="F303" s="40" t="s">
        <v>884</v>
      </c>
      <c r="G303" s="40" t="s">
        <v>622</v>
      </c>
      <c r="H303" s="40" t="s">
        <v>45</v>
      </c>
      <c r="I303" s="40" t="s">
        <v>46</v>
      </c>
      <c r="J303" s="41">
        <v>3014670.8524701199</v>
      </c>
      <c r="K303" s="444">
        <v>0.05</v>
      </c>
      <c r="L303" s="444"/>
      <c r="M303" s="444"/>
      <c r="N303" s="444">
        <v>1E-3</v>
      </c>
      <c r="O303" s="42">
        <v>6.7000000000000004E-2</v>
      </c>
      <c r="P303" s="444">
        <v>0.11800000000000001</v>
      </c>
      <c r="Q303" s="434">
        <v>10715</v>
      </c>
      <c r="R303" s="41">
        <v>5771</v>
      </c>
      <c r="S303" s="672"/>
      <c r="T303" s="41"/>
      <c r="U303" s="41">
        <v>1006.6700000000001</v>
      </c>
      <c r="V303" s="41">
        <v>3937</v>
      </c>
      <c r="W303" s="672">
        <v>0</v>
      </c>
      <c r="X303" s="41"/>
      <c r="Y303" s="672"/>
      <c r="Z303" s="734"/>
      <c r="AA303" s="434">
        <f t="shared" si="36"/>
        <v>10714.67</v>
      </c>
      <c r="AB303" s="42">
        <f t="shared" si="32"/>
        <v>0.53860734861642967</v>
      </c>
      <c r="AC303" s="42">
        <f t="shared" si="33"/>
        <v>9.395249690377773E-2</v>
      </c>
      <c r="AD303" s="42">
        <f t="shared" si="34"/>
        <v>1.914305170420657E-3</v>
      </c>
      <c r="AE303" s="42">
        <f t="shared" si="35"/>
        <v>3.3392368496055499E-4</v>
      </c>
      <c r="AF303" s="721">
        <f t="shared" si="37"/>
        <v>3.5541757373680643E-3</v>
      </c>
    </row>
    <row r="304" spans="1:32">
      <c r="A304" s="103" t="s">
        <v>1326</v>
      </c>
      <c r="B304" s="40" t="s">
        <v>1327</v>
      </c>
      <c r="C304" s="40" t="s">
        <v>1394</v>
      </c>
      <c r="D304" s="40" t="s">
        <v>553</v>
      </c>
      <c r="E304" s="40" t="s">
        <v>621</v>
      </c>
      <c r="F304" s="40" t="s">
        <v>884</v>
      </c>
      <c r="G304" s="40" t="s">
        <v>622</v>
      </c>
      <c r="H304" s="40" t="s">
        <v>45</v>
      </c>
      <c r="I304" s="40" t="s">
        <v>46</v>
      </c>
      <c r="J304" s="41">
        <v>1048335754.0159363</v>
      </c>
      <c r="K304" s="444">
        <v>0.05</v>
      </c>
      <c r="L304" s="444"/>
      <c r="M304" s="444"/>
      <c r="N304" s="444">
        <v>1E-3</v>
      </c>
      <c r="O304" s="42">
        <v>6.7000000000000004E-2</v>
      </c>
      <c r="P304" s="444">
        <v>0.11800000000000001</v>
      </c>
      <c r="Q304" s="434">
        <v>4235851</v>
      </c>
      <c r="R304" s="41">
        <v>2791382</v>
      </c>
      <c r="S304" s="672"/>
      <c r="T304" s="41"/>
      <c r="U304" s="41">
        <v>424405</v>
      </c>
      <c r="V304" s="41">
        <v>1020064</v>
      </c>
      <c r="W304" s="672">
        <v>0</v>
      </c>
      <c r="X304" s="41"/>
      <c r="Y304" s="672"/>
      <c r="Z304" s="734"/>
      <c r="AA304" s="434">
        <f t="shared" si="36"/>
        <v>4235851</v>
      </c>
      <c r="AB304" s="42">
        <f t="shared" si="32"/>
        <v>0.65898965756821948</v>
      </c>
      <c r="AC304" s="42">
        <f t="shared" si="33"/>
        <v>0.10019356204927889</v>
      </c>
      <c r="AD304" s="42">
        <f t="shared" si="34"/>
        <v>2.6626793842591452E-3</v>
      </c>
      <c r="AE304" s="42">
        <f t="shared" si="35"/>
        <v>4.0483690303817343E-4</v>
      </c>
      <c r="AF304" s="721">
        <f t="shared" si="37"/>
        <v>4.0405480627493783E-3</v>
      </c>
    </row>
    <row r="305" spans="1:32">
      <c r="A305" s="103" t="s">
        <v>1328</v>
      </c>
      <c r="B305" s="40" t="s">
        <v>1329</v>
      </c>
      <c r="C305" s="40" t="s">
        <v>1394</v>
      </c>
      <c r="D305" s="40" t="s">
        <v>553</v>
      </c>
      <c r="E305" s="40" t="s">
        <v>621</v>
      </c>
      <c r="F305" s="40" t="s">
        <v>884</v>
      </c>
      <c r="G305" s="40" t="s">
        <v>622</v>
      </c>
      <c r="H305" s="40" t="s">
        <v>45</v>
      </c>
      <c r="I305" s="40" t="s">
        <v>46</v>
      </c>
      <c r="J305" s="41">
        <v>1613399401.8446214</v>
      </c>
      <c r="K305" s="444">
        <v>0.05</v>
      </c>
      <c r="L305" s="444"/>
      <c r="M305" s="444"/>
      <c r="N305" s="444">
        <v>1E-3</v>
      </c>
      <c r="O305" s="42">
        <v>6.7000000000000004E-2</v>
      </c>
      <c r="P305" s="444">
        <v>0.11800000000000001</v>
      </c>
      <c r="Q305" s="434">
        <v>4718764</v>
      </c>
      <c r="R305" s="41">
        <v>3203844</v>
      </c>
      <c r="S305" s="672"/>
      <c r="T305" s="41"/>
      <c r="U305" s="41">
        <v>494856</v>
      </c>
      <c r="V305" s="41">
        <v>1020064</v>
      </c>
      <c r="W305" s="672">
        <v>0</v>
      </c>
      <c r="X305" s="41"/>
      <c r="Y305" s="672"/>
      <c r="Z305" s="734"/>
      <c r="AA305" s="434">
        <f t="shared" si="36"/>
        <v>4718764</v>
      </c>
      <c r="AB305" s="42">
        <f t="shared" si="32"/>
        <v>0.67895830348794728</v>
      </c>
      <c r="AC305" s="42">
        <f t="shared" si="33"/>
        <v>0.10486983455837164</v>
      </c>
      <c r="AD305" s="42">
        <f t="shared" si="34"/>
        <v>1.985772398537524E-3</v>
      </c>
      <c r="AE305" s="42">
        <f t="shared" si="35"/>
        <v>3.067163651072539E-4</v>
      </c>
      <c r="AF305" s="721">
        <f t="shared" si="37"/>
        <v>2.9247339466005585E-3</v>
      </c>
    </row>
    <row r="306" spans="1:32">
      <c r="A306" s="103" t="s">
        <v>1330</v>
      </c>
      <c r="B306" s="40" t="s">
        <v>1331</v>
      </c>
      <c r="C306" s="40" t="s">
        <v>1394</v>
      </c>
      <c r="D306" s="40" t="s">
        <v>553</v>
      </c>
      <c r="E306" s="40" t="s">
        <v>621</v>
      </c>
      <c r="F306" s="40" t="s">
        <v>884</v>
      </c>
      <c r="G306" s="40" t="s">
        <v>622</v>
      </c>
      <c r="H306" s="40" t="s">
        <v>45</v>
      </c>
      <c r="I306" s="40" t="s">
        <v>46</v>
      </c>
      <c r="J306" s="41">
        <v>2094698670.7370517</v>
      </c>
      <c r="K306" s="444">
        <v>0.05</v>
      </c>
      <c r="L306" s="444"/>
      <c r="M306" s="444"/>
      <c r="N306" s="444">
        <v>1E-3</v>
      </c>
      <c r="O306" s="42">
        <v>6.7000000000000004E-2</v>
      </c>
      <c r="P306" s="444">
        <v>0.11800000000000001</v>
      </c>
      <c r="Q306" s="434">
        <v>5902169</v>
      </c>
      <c r="R306" s="41">
        <v>4226529</v>
      </c>
      <c r="S306" s="672"/>
      <c r="T306" s="41"/>
      <c r="U306" s="41">
        <v>655576</v>
      </c>
      <c r="V306" s="41">
        <v>1020064</v>
      </c>
      <c r="W306" s="672">
        <v>0</v>
      </c>
      <c r="X306" s="41"/>
      <c r="Y306" s="672"/>
      <c r="Z306" s="734"/>
      <c r="AA306" s="434">
        <f t="shared" ref="AA306:AA337" si="38">+R306+T306+U306+V306+X306</f>
        <v>5902169</v>
      </c>
      <c r="AB306" s="42">
        <f t="shared" si="32"/>
        <v>0.71609759056374023</v>
      </c>
      <c r="AC306" s="42">
        <f t="shared" si="33"/>
        <v>0.11107374255125531</v>
      </c>
      <c r="AD306" s="42">
        <f t="shared" si="34"/>
        <v>2.0177264916642311E-3</v>
      </c>
      <c r="AE306" s="42">
        <f t="shared" si="35"/>
        <v>3.1296912016911984E-4</v>
      </c>
      <c r="AF306" s="721">
        <f t="shared" ref="AF306:AF337" si="39">+(AA306/J306)+Z306</f>
        <v>2.817669711855611E-3</v>
      </c>
    </row>
    <row r="307" spans="1:32">
      <c r="A307" s="103" t="s">
        <v>1332</v>
      </c>
      <c r="B307" s="40" t="s">
        <v>1333</v>
      </c>
      <c r="C307" s="40" t="s">
        <v>1394</v>
      </c>
      <c r="D307" s="40" t="s">
        <v>553</v>
      </c>
      <c r="E307" s="40" t="s">
        <v>621</v>
      </c>
      <c r="F307" s="40" t="s">
        <v>884</v>
      </c>
      <c r="G307" s="40" t="s">
        <v>622</v>
      </c>
      <c r="H307" s="40" t="s">
        <v>45</v>
      </c>
      <c r="I307" s="40" t="s">
        <v>46</v>
      </c>
      <c r="J307" s="41">
        <v>3896301474.6254978</v>
      </c>
      <c r="K307" s="444">
        <v>0.05</v>
      </c>
      <c r="L307" s="444"/>
      <c r="M307" s="444"/>
      <c r="N307" s="444">
        <v>1E-3</v>
      </c>
      <c r="O307" s="42">
        <v>6.7000000000000004E-2</v>
      </c>
      <c r="P307" s="444">
        <v>0.11800000000000001</v>
      </c>
      <c r="Q307" s="434">
        <v>11878815</v>
      </c>
      <c r="R307" s="41">
        <v>9368954</v>
      </c>
      <c r="S307" s="672"/>
      <c r="T307" s="41"/>
      <c r="U307" s="41">
        <v>1489797</v>
      </c>
      <c r="V307" s="41">
        <v>1020064</v>
      </c>
      <c r="W307" s="672">
        <v>0</v>
      </c>
      <c r="X307" s="41"/>
      <c r="Y307" s="672"/>
      <c r="Z307" s="734"/>
      <c r="AA307" s="434">
        <f t="shared" si="38"/>
        <v>11878815</v>
      </c>
      <c r="AB307" s="42">
        <f t="shared" si="32"/>
        <v>0.78871116352935877</v>
      </c>
      <c r="AC307" s="42">
        <f t="shared" si="33"/>
        <v>0.12541629783778938</v>
      </c>
      <c r="AD307" s="42">
        <f t="shared" si="34"/>
        <v>2.404576252893911E-3</v>
      </c>
      <c r="AE307" s="42">
        <f t="shared" si="35"/>
        <v>3.8236183973500029E-4</v>
      </c>
      <c r="AF307" s="721">
        <f t="shared" si="39"/>
        <v>3.0487412427812098E-3</v>
      </c>
    </row>
    <row r="308" spans="1:32">
      <c r="A308" s="103" t="s">
        <v>1334</v>
      </c>
      <c r="B308" s="40" t="s">
        <v>1335</v>
      </c>
      <c r="C308" s="40" t="s">
        <v>1394</v>
      </c>
      <c r="D308" s="40" t="s">
        <v>553</v>
      </c>
      <c r="E308" s="40" t="s">
        <v>621</v>
      </c>
      <c r="F308" s="40" t="s">
        <v>884</v>
      </c>
      <c r="G308" s="40" t="s">
        <v>622</v>
      </c>
      <c r="H308" s="40" t="s">
        <v>45</v>
      </c>
      <c r="I308" s="40" t="s">
        <v>46</v>
      </c>
      <c r="J308" s="41">
        <v>3143792036.6573706</v>
      </c>
      <c r="K308" s="444">
        <v>0.05</v>
      </c>
      <c r="L308" s="444"/>
      <c r="M308" s="444"/>
      <c r="N308" s="444">
        <v>1E-3</v>
      </c>
      <c r="O308" s="42">
        <v>6.7000000000000004E-2</v>
      </c>
      <c r="P308" s="444">
        <v>0.11800000000000001</v>
      </c>
      <c r="Q308" s="434">
        <v>9973620</v>
      </c>
      <c r="R308" s="41">
        <v>7730416</v>
      </c>
      <c r="S308" s="672"/>
      <c r="T308" s="41"/>
      <c r="U308" s="41">
        <v>1223140</v>
      </c>
      <c r="V308" s="41">
        <v>1020064</v>
      </c>
      <c r="W308" s="672">
        <v>0</v>
      </c>
      <c r="X308" s="41"/>
      <c r="Y308" s="672"/>
      <c r="Z308" s="734"/>
      <c r="AA308" s="434">
        <f t="shared" si="38"/>
        <v>9973620</v>
      </c>
      <c r="AB308" s="42">
        <f t="shared" si="32"/>
        <v>0.77508627760030957</v>
      </c>
      <c r="AC308" s="42">
        <f t="shared" si="33"/>
        <v>0.12263751777188223</v>
      </c>
      <c r="AD308" s="42">
        <f t="shared" si="34"/>
        <v>2.4589463647281666E-3</v>
      </c>
      <c r="AE308" s="42">
        <f t="shared" si="35"/>
        <v>3.890651753480808E-4</v>
      </c>
      <c r="AF308" s="721">
        <f t="shared" si="39"/>
        <v>3.1724808396055445E-3</v>
      </c>
    </row>
    <row r="309" spans="1:32">
      <c r="A309" s="103" t="s">
        <v>1336</v>
      </c>
      <c r="B309" s="40" t="s">
        <v>1337</v>
      </c>
      <c r="C309" s="40" t="s">
        <v>1394</v>
      </c>
      <c r="D309" s="40" t="s">
        <v>553</v>
      </c>
      <c r="E309" s="40" t="s">
        <v>621</v>
      </c>
      <c r="F309" s="40" t="s">
        <v>884</v>
      </c>
      <c r="G309" s="40" t="s">
        <v>622</v>
      </c>
      <c r="H309" s="40" t="s">
        <v>45</v>
      </c>
      <c r="I309" s="40" t="s">
        <v>46</v>
      </c>
      <c r="J309" s="41">
        <v>1212116780.2430279</v>
      </c>
      <c r="K309" s="444">
        <v>0.05</v>
      </c>
      <c r="L309" s="444"/>
      <c r="M309" s="444"/>
      <c r="N309" s="444">
        <v>1E-3</v>
      </c>
      <c r="O309" s="42">
        <v>6.7000000000000004E-2</v>
      </c>
      <c r="P309" s="444">
        <v>0.11800000000000001</v>
      </c>
      <c r="Q309" s="434">
        <v>4428876</v>
      </c>
      <c r="R309" s="41">
        <v>2963335</v>
      </c>
      <c r="S309" s="672"/>
      <c r="T309" s="41"/>
      <c r="U309" s="41">
        <v>445477</v>
      </c>
      <c r="V309" s="41">
        <v>1020064</v>
      </c>
      <c r="W309" s="672">
        <v>0</v>
      </c>
      <c r="X309" s="41"/>
      <c r="Y309" s="672"/>
      <c r="Z309" s="734"/>
      <c r="AA309" s="434">
        <f t="shared" si="38"/>
        <v>4428876</v>
      </c>
      <c r="AB309" s="42">
        <f t="shared" si="32"/>
        <v>0.66909414488010055</v>
      </c>
      <c r="AC309" s="42">
        <f t="shared" si="33"/>
        <v>0.10058466301607902</v>
      </c>
      <c r="AD309" s="42">
        <f t="shared" si="34"/>
        <v>2.4447603137759178E-3</v>
      </c>
      <c r="AE309" s="42">
        <f t="shared" si="35"/>
        <v>3.675198687627131E-4</v>
      </c>
      <c r="AF309" s="721">
        <f t="shared" si="39"/>
        <v>3.6538360595189646E-3</v>
      </c>
    </row>
    <row r="310" spans="1:32">
      <c r="A310" s="103" t="s">
        <v>1338</v>
      </c>
      <c r="B310" s="40" t="s">
        <v>1339</v>
      </c>
      <c r="C310" s="40" t="s">
        <v>1394</v>
      </c>
      <c r="D310" s="40" t="s">
        <v>553</v>
      </c>
      <c r="E310" s="40" t="s">
        <v>621</v>
      </c>
      <c r="F310" s="40" t="s">
        <v>884</v>
      </c>
      <c r="G310" s="40" t="s">
        <v>622</v>
      </c>
      <c r="H310" s="40" t="s">
        <v>45</v>
      </c>
      <c r="I310" s="40" t="s">
        <v>46</v>
      </c>
      <c r="J310" s="41">
        <v>3173356035.2350597</v>
      </c>
      <c r="K310" s="444">
        <v>0.05</v>
      </c>
      <c r="L310" s="444"/>
      <c r="M310" s="444"/>
      <c r="N310" s="444">
        <v>1E-3</v>
      </c>
      <c r="O310" s="42">
        <v>6.7000000000000004E-2</v>
      </c>
      <c r="P310" s="444">
        <v>0.11800000000000001</v>
      </c>
      <c r="Q310" s="434">
        <v>9462441</v>
      </c>
      <c r="R310" s="41">
        <v>7283211</v>
      </c>
      <c r="S310" s="672"/>
      <c r="T310" s="41"/>
      <c r="U310" s="41">
        <v>1159166</v>
      </c>
      <c r="V310" s="41">
        <v>1020064</v>
      </c>
      <c r="W310" s="672">
        <v>0</v>
      </c>
      <c r="X310" s="41"/>
      <c r="Y310" s="672"/>
      <c r="Z310" s="734"/>
      <c r="AA310" s="434">
        <f t="shared" si="38"/>
        <v>9462441</v>
      </c>
      <c r="AB310" s="42">
        <f t="shared" si="32"/>
        <v>0.76969684672274308</v>
      </c>
      <c r="AC310" s="42">
        <f t="shared" si="33"/>
        <v>0.12250179419876964</v>
      </c>
      <c r="AD310" s="42">
        <f t="shared" si="34"/>
        <v>2.2951130976579851E-3</v>
      </c>
      <c r="AE310" s="42">
        <f t="shared" si="35"/>
        <v>3.6528079015695354E-4</v>
      </c>
      <c r="AF310" s="721">
        <f t="shared" si="39"/>
        <v>2.981840327695562E-3</v>
      </c>
    </row>
    <row r="311" spans="1:32">
      <c r="A311" s="103" t="s">
        <v>1340</v>
      </c>
      <c r="B311" s="40" t="s">
        <v>1341</v>
      </c>
      <c r="C311" s="40" t="s">
        <v>1394</v>
      </c>
      <c r="D311" s="40" t="s">
        <v>553</v>
      </c>
      <c r="E311" s="40" t="s">
        <v>621</v>
      </c>
      <c r="F311" s="40" t="s">
        <v>884</v>
      </c>
      <c r="G311" s="40" t="s">
        <v>622</v>
      </c>
      <c r="H311" s="40" t="s">
        <v>45</v>
      </c>
      <c r="I311" s="40" t="s">
        <v>46</v>
      </c>
      <c r="J311" s="41">
        <v>1892761191.1832669</v>
      </c>
      <c r="K311" s="444">
        <v>0.05</v>
      </c>
      <c r="L311" s="444"/>
      <c r="M311" s="444"/>
      <c r="N311" s="444">
        <v>1E-3</v>
      </c>
      <c r="O311" s="42">
        <v>6.7000000000000004E-2</v>
      </c>
      <c r="P311" s="444">
        <v>0.11800000000000001</v>
      </c>
      <c r="Q311" s="434">
        <v>4868173</v>
      </c>
      <c r="R311" s="41">
        <v>3054091</v>
      </c>
      <c r="S311" s="672"/>
      <c r="T311" s="41"/>
      <c r="U311" s="41">
        <v>794018</v>
      </c>
      <c r="V311" s="41">
        <v>1020064</v>
      </c>
      <c r="W311" s="672">
        <v>0</v>
      </c>
      <c r="X311" s="41"/>
      <c r="Y311" s="672"/>
      <c r="Z311" s="734"/>
      <c r="AA311" s="434">
        <f t="shared" si="38"/>
        <v>4868173</v>
      </c>
      <c r="AB311" s="42">
        <f t="shared" si="32"/>
        <v>0.62735876477684749</v>
      </c>
      <c r="AC311" s="42">
        <f t="shared" si="33"/>
        <v>0.16310389955328211</v>
      </c>
      <c r="AD311" s="42">
        <f t="shared" si="34"/>
        <v>1.6135638316267058E-3</v>
      </c>
      <c r="AE311" s="42">
        <f t="shared" si="35"/>
        <v>4.1950247273593805E-4</v>
      </c>
      <c r="AF311" s="721">
        <f t="shared" si="39"/>
        <v>2.571995359307131E-3</v>
      </c>
    </row>
    <row r="312" spans="1:32">
      <c r="A312" s="103" t="s">
        <v>1342</v>
      </c>
      <c r="B312" s="40" t="s">
        <v>1343</v>
      </c>
      <c r="C312" s="40" t="s">
        <v>1394</v>
      </c>
      <c r="D312" s="40" t="s">
        <v>553</v>
      </c>
      <c r="E312" s="40" t="s">
        <v>621</v>
      </c>
      <c r="F312" s="40" t="s">
        <v>884</v>
      </c>
      <c r="G312" s="40" t="s">
        <v>622</v>
      </c>
      <c r="H312" s="40" t="s">
        <v>45</v>
      </c>
      <c r="I312" s="40" t="s">
        <v>46</v>
      </c>
      <c r="J312" s="41">
        <v>1978435991.8406374</v>
      </c>
      <c r="K312" s="444">
        <v>0.05</v>
      </c>
      <c r="L312" s="444"/>
      <c r="M312" s="444"/>
      <c r="N312" s="444">
        <v>1E-3</v>
      </c>
      <c r="O312" s="42">
        <v>6.7000000000000004E-2</v>
      </c>
      <c r="P312" s="444">
        <v>0.11800000000000001</v>
      </c>
      <c r="Q312" s="434">
        <v>7084490</v>
      </c>
      <c r="R312" s="41">
        <v>4794444</v>
      </c>
      <c r="S312" s="672"/>
      <c r="T312" s="41"/>
      <c r="U312" s="41">
        <v>1269982</v>
      </c>
      <c r="V312" s="41">
        <v>1020064</v>
      </c>
      <c r="W312" s="672">
        <v>0</v>
      </c>
      <c r="X312" s="41"/>
      <c r="Y312" s="672"/>
      <c r="Z312" s="734"/>
      <c r="AA312" s="434">
        <f t="shared" si="38"/>
        <v>7084490</v>
      </c>
      <c r="AB312" s="42">
        <f t="shared" si="32"/>
        <v>0.67675217270403376</v>
      </c>
      <c r="AC312" s="42">
        <f t="shared" si="33"/>
        <v>0.17926230399083068</v>
      </c>
      <c r="AD312" s="42">
        <f t="shared" si="34"/>
        <v>2.4233505757947165E-3</v>
      </c>
      <c r="AE312" s="42">
        <f t="shared" si="35"/>
        <v>6.4191209886880021E-4</v>
      </c>
      <c r="AF312" s="721">
        <f t="shared" si="39"/>
        <v>3.5808537800654074E-3</v>
      </c>
    </row>
    <row r="313" spans="1:32">
      <c r="A313" s="103" t="s">
        <v>1344</v>
      </c>
      <c r="B313" s="40" t="s">
        <v>1345</v>
      </c>
      <c r="C313" s="40" t="s">
        <v>1394</v>
      </c>
      <c r="D313" s="40" t="s">
        <v>553</v>
      </c>
      <c r="E313" s="40" t="s">
        <v>621</v>
      </c>
      <c r="F313" s="40" t="s">
        <v>884</v>
      </c>
      <c r="G313" s="40" t="s">
        <v>622</v>
      </c>
      <c r="H313" s="40" t="s">
        <v>45</v>
      </c>
      <c r="I313" s="40" t="s">
        <v>46</v>
      </c>
      <c r="J313" s="41">
        <v>3658581910.3984065</v>
      </c>
      <c r="K313" s="444">
        <v>0.05</v>
      </c>
      <c r="L313" s="444"/>
      <c r="M313" s="444"/>
      <c r="N313" s="444">
        <v>1E-3</v>
      </c>
      <c r="O313" s="42">
        <v>6.7000000000000004E-2</v>
      </c>
      <c r="P313" s="444">
        <v>0.11800000000000001</v>
      </c>
      <c r="Q313" s="434">
        <v>9658892</v>
      </c>
      <c r="R313" s="41">
        <v>6810659</v>
      </c>
      <c r="S313" s="672"/>
      <c r="T313" s="41"/>
      <c r="U313" s="41">
        <v>1828169</v>
      </c>
      <c r="V313" s="41">
        <v>1020064</v>
      </c>
      <c r="W313" s="672">
        <v>0</v>
      </c>
      <c r="X313" s="41"/>
      <c r="Y313" s="672"/>
      <c r="Z313" s="734"/>
      <c r="AA313" s="434">
        <f t="shared" si="38"/>
        <v>9658892</v>
      </c>
      <c r="AB313" s="42">
        <f t="shared" si="32"/>
        <v>0.70511804045432958</v>
      </c>
      <c r="AC313" s="42">
        <f t="shared" si="33"/>
        <v>0.18927315886749743</v>
      </c>
      <c r="AD313" s="42">
        <f t="shared" si="34"/>
        <v>1.861557064129895E-3</v>
      </c>
      <c r="AE313" s="42">
        <f t="shared" si="35"/>
        <v>4.9969333604476249E-4</v>
      </c>
      <c r="AF313" s="721">
        <f t="shared" si="39"/>
        <v>2.6400644393248479E-3</v>
      </c>
    </row>
    <row r="314" spans="1:32">
      <c r="A314" s="103" t="s">
        <v>1346</v>
      </c>
      <c r="B314" s="40" t="s">
        <v>1347</v>
      </c>
      <c r="C314" s="40" t="s">
        <v>1394</v>
      </c>
      <c r="D314" s="40" t="s">
        <v>553</v>
      </c>
      <c r="E314" s="40" t="s">
        <v>621</v>
      </c>
      <c r="F314" s="40" t="s">
        <v>884</v>
      </c>
      <c r="G314" s="40" t="s">
        <v>622</v>
      </c>
      <c r="H314" s="40" t="s">
        <v>45</v>
      </c>
      <c r="I314" s="40" t="s">
        <v>46</v>
      </c>
      <c r="J314" s="41">
        <v>2151085707.8924303</v>
      </c>
      <c r="K314" s="444">
        <v>0.05</v>
      </c>
      <c r="L314" s="444"/>
      <c r="M314" s="444"/>
      <c r="N314" s="444">
        <v>1E-3</v>
      </c>
      <c r="O314" s="42">
        <v>6.7000000000000004E-2</v>
      </c>
      <c r="P314" s="444">
        <v>0.11800000000000001</v>
      </c>
      <c r="Q314" s="434">
        <v>5708967</v>
      </c>
      <c r="R314" s="41">
        <v>3712647</v>
      </c>
      <c r="S314" s="672"/>
      <c r="T314" s="41"/>
      <c r="U314" s="41">
        <v>976256</v>
      </c>
      <c r="V314" s="41">
        <v>1020064</v>
      </c>
      <c r="W314" s="672">
        <v>0</v>
      </c>
      <c r="X314" s="41"/>
      <c r="Y314" s="672"/>
      <c r="Z314" s="734"/>
      <c r="AA314" s="434">
        <f t="shared" si="38"/>
        <v>5708967</v>
      </c>
      <c r="AB314" s="42">
        <f t="shared" si="32"/>
        <v>0.65031852522531663</v>
      </c>
      <c r="AC314" s="42">
        <f t="shared" si="33"/>
        <v>0.17100396621665531</v>
      </c>
      <c r="AD314" s="42">
        <f t="shared" si="34"/>
        <v>1.7259409917411153E-3</v>
      </c>
      <c r="AE314" s="42">
        <f t="shared" si="35"/>
        <v>4.5384337612307718E-4</v>
      </c>
      <c r="AF314" s="721">
        <f t="shared" si="39"/>
        <v>2.6539932737470865E-3</v>
      </c>
    </row>
    <row r="315" spans="1:32">
      <c r="A315" s="643" t="s">
        <v>618</v>
      </c>
      <c r="B315" s="450" t="s">
        <v>619</v>
      </c>
      <c r="C315" s="450" t="s">
        <v>1395</v>
      </c>
      <c r="D315" s="51" t="s">
        <v>553</v>
      </c>
      <c r="E315" s="50" t="s">
        <v>621</v>
      </c>
      <c r="F315" s="50" t="s">
        <v>884</v>
      </c>
      <c r="G315" s="50" t="s">
        <v>622</v>
      </c>
      <c r="H315" s="603" t="s">
        <v>62</v>
      </c>
      <c r="I315" s="40" t="s">
        <v>46</v>
      </c>
      <c r="J315" s="41">
        <v>2458114781</v>
      </c>
      <c r="K315" s="444">
        <v>1.4999999999999999E-2</v>
      </c>
      <c r="L315" s="444"/>
      <c r="M315" s="444"/>
      <c r="N315" s="52">
        <v>2E-3</v>
      </c>
      <c r="O315" s="52">
        <v>0.01</v>
      </c>
      <c r="P315" s="444"/>
      <c r="Q315" s="434">
        <v>25979978</v>
      </c>
      <c r="R315" s="41">
        <v>3026989</v>
      </c>
      <c r="S315" s="672"/>
      <c r="T315" s="41">
        <v>18237623</v>
      </c>
      <c r="U315" s="41">
        <v>3687039</v>
      </c>
      <c r="V315" s="41">
        <v>933204</v>
      </c>
      <c r="W315" s="672">
        <v>95123</v>
      </c>
      <c r="X315" s="41"/>
      <c r="Y315" s="672"/>
      <c r="Z315" s="733"/>
      <c r="AA315" s="434">
        <f t="shared" si="38"/>
        <v>25884855</v>
      </c>
      <c r="AB315" s="42">
        <f t="shared" si="32"/>
        <v>0.11694054303182305</v>
      </c>
      <c r="AC315" s="42">
        <f t="shared" si="33"/>
        <v>0.14244000980496124</v>
      </c>
      <c r="AD315" s="42">
        <f t="shared" si="34"/>
        <v>1.2314270364415501E-3</v>
      </c>
      <c r="AE315" s="42">
        <f t="shared" si="35"/>
        <v>1.4999458237259589E-3</v>
      </c>
      <c r="AF315" s="721">
        <f t="shared" si="39"/>
        <v>1.0530368719995098E-2</v>
      </c>
    </row>
    <row r="316" spans="1:32">
      <c r="A316" s="643" t="s">
        <v>623</v>
      </c>
      <c r="B316" s="450" t="s">
        <v>624</v>
      </c>
      <c r="C316" s="450" t="s">
        <v>1395</v>
      </c>
      <c r="D316" s="51" t="s">
        <v>553</v>
      </c>
      <c r="E316" s="50" t="s">
        <v>621</v>
      </c>
      <c r="F316" s="50" t="s">
        <v>884</v>
      </c>
      <c r="G316" s="50" t="s">
        <v>622</v>
      </c>
      <c r="H316" s="603" t="s">
        <v>62</v>
      </c>
      <c r="I316" s="40" t="s">
        <v>46</v>
      </c>
      <c r="J316" s="41">
        <v>3535352339</v>
      </c>
      <c r="K316" s="444">
        <v>1.4999999999999999E-2</v>
      </c>
      <c r="L316" s="444"/>
      <c r="M316" s="444"/>
      <c r="N316" s="52">
        <v>2E-3</v>
      </c>
      <c r="O316" s="52">
        <v>0.01</v>
      </c>
      <c r="P316" s="444"/>
      <c r="Q316" s="434">
        <v>39313124</v>
      </c>
      <c r="R316" s="41">
        <v>4200540</v>
      </c>
      <c r="S316" s="672"/>
      <c r="T316" s="41">
        <v>30549405</v>
      </c>
      <c r="U316" s="41">
        <v>3534452</v>
      </c>
      <c r="V316" s="41">
        <v>933204</v>
      </c>
      <c r="W316" s="672">
        <v>95523</v>
      </c>
      <c r="X316" s="41"/>
      <c r="Y316" s="672"/>
      <c r="Z316" s="733"/>
      <c r="AA316" s="434">
        <f t="shared" si="38"/>
        <v>39217601</v>
      </c>
      <c r="AB316" s="42">
        <f t="shared" si="32"/>
        <v>0.10710854037196207</v>
      </c>
      <c r="AC316" s="42">
        <f t="shared" si="33"/>
        <v>9.0124125644503339E-2</v>
      </c>
      <c r="AD316" s="42">
        <f t="shared" si="34"/>
        <v>1.1881531449247724E-3</v>
      </c>
      <c r="AE316" s="42">
        <f t="shared" si="35"/>
        <v>9.9974533259667851E-4</v>
      </c>
      <c r="AF316" s="721">
        <f t="shared" si="39"/>
        <v>1.1092982322404953E-2</v>
      </c>
    </row>
    <row r="317" spans="1:32">
      <c r="A317" s="643" t="s">
        <v>625</v>
      </c>
      <c r="B317" s="450" t="s">
        <v>626</v>
      </c>
      <c r="C317" s="450" t="s">
        <v>1395</v>
      </c>
      <c r="D317" s="51" t="s">
        <v>553</v>
      </c>
      <c r="E317" s="50" t="s">
        <v>621</v>
      </c>
      <c r="F317" s="50" t="s">
        <v>884</v>
      </c>
      <c r="G317" s="50" t="s">
        <v>622</v>
      </c>
      <c r="H317" s="603" t="s">
        <v>62</v>
      </c>
      <c r="I317" s="40" t="s">
        <v>46</v>
      </c>
      <c r="J317" s="41">
        <v>1757442276</v>
      </c>
      <c r="K317" s="444">
        <v>1.4999999999999999E-2</v>
      </c>
      <c r="L317" s="444"/>
      <c r="M317" s="444"/>
      <c r="N317" s="52">
        <v>2E-3</v>
      </c>
      <c r="O317" s="52">
        <v>0.01</v>
      </c>
      <c r="P317" s="444"/>
      <c r="Q317" s="434">
        <v>20202260</v>
      </c>
      <c r="R317" s="41">
        <v>2621259</v>
      </c>
      <c r="S317" s="672"/>
      <c r="T317" s="41">
        <v>14978624</v>
      </c>
      <c r="U317" s="41">
        <v>1580103</v>
      </c>
      <c r="V317" s="41">
        <v>927100</v>
      </c>
      <c r="W317" s="672">
        <v>95174</v>
      </c>
      <c r="X317" s="41"/>
      <c r="Y317" s="672"/>
      <c r="Z317" s="733"/>
      <c r="AA317" s="434">
        <f t="shared" si="38"/>
        <v>20107086</v>
      </c>
      <c r="AB317" s="42">
        <f t="shared" si="32"/>
        <v>0.130364937017726</v>
      </c>
      <c r="AC317" s="42">
        <f t="shared" si="33"/>
        <v>7.8584385624053135E-2</v>
      </c>
      <c r="AD317" s="42">
        <f t="shared" si="34"/>
        <v>1.4915192582973917E-3</v>
      </c>
      <c r="AE317" s="42">
        <f t="shared" si="35"/>
        <v>8.9909240353337218E-4</v>
      </c>
      <c r="AF317" s="721">
        <f t="shared" si="39"/>
        <v>1.1441107497291138E-2</v>
      </c>
    </row>
    <row r="318" spans="1:32">
      <c r="A318" s="643" t="s">
        <v>627</v>
      </c>
      <c r="B318" s="50" t="s">
        <v>628</v>
      </c>
      <c r="C318" s="50" t="s">
        <v>1395</v>
      </c>
      <c r="D318" s="50" t="s">
        <v>43</v>
      </c>
      <c r="E318" s="50" t="s">
        <v>44</v>
      </c>
      <c r="F318" s="50" t="s">
        <v>1348</v>
      </c>
      <c r="G318" s="50" t="s">
        <v>58</v>
      </c>
      <c r="H318" s="603" t="s">
        <v>62</v>
      </c>
      <c r="I318" s="603" t="s">
        <v>46</v>
      </c>
      <c r="J318" s="41">
        <v>911821729</v>
      </c>
      <c r="K318" s="52">
        <v>5.0000000000000001E-3</v>
      </c>
      <c r="L318" s="444"/>
      <c r="M318" s="444"/>
      <c r="N318" s="52">
        <v>2E-3</v>
      </c>
      <c r="O318" s="52">
        <v>1.525E-2</v>
      </c>
      <c r="P318" s="444"/>
      <c r="Q318" s="434">
        <v>17626683</v>
      </c>
      <c r="R318" s="41">
        <v>3186373</v>
      </c>
      <c r="S318" s="672"/>
      <c r="T318" s="41">
        <v>7738335</v>
      </c>
      <c r="U318" s="41">
        <v>1820785</v>
      </c>
      <c r="V318" s="41">
        <v>1474578</v>
      </c>
      <c r="W318" s="672">
        <v>3406612</v>
      </c>
      <c r="X318" s="41"/>
      <c r="Y318" s="672"/>
      <c r="Z318" s="733"/>
      <c r="AA318" s="434">
        <f t="shared" si="38"/>
        <v>14220071</v>
      </c>
      <c r="AB318" s="42">
        <f t="shared" si="32"/>
        <v>0.22407574476948813</v>
      </c>
      <c r="AC318" s="42">
        <f t="shared" si="33"/>
        <v>0.12804331286390905</v>
      </c>
      <c r="AD318" s="42">
        <f t="shared" si="34"/>
        <v>3.4945131253830866E-3</v>
      </c>
      <c r="AE318" s="42">
        <f t="shared" si="35"/>
        <v>1.996865113092737E-3</v>
      </c>
      <c r="AF318" s="721">
        <f t="shared" si="39"/>
        <v>1.5595231554303089E-2</v>
      </c>
    </row>
    <row r="319" spans="1:32">
      <c r="A319" s="643" t="s">
        <v>629</v>
      </c>
      <c r="B319" s="450" t="s">
        <v>630</v>
      </c>
      <c r="C319" s="450" t="s">
        <v>1395</v>
      </c>
      <c r="D319" s="51" t="s">
        <v>553</v>
      </c>
      <c r="E319" s="50" t="s">
        <v>621</v>
      </c>
      <c r="F319" s="50" t="s">
        <v>884</v>
      </c>
      <c r="G319" s="50" t="s">
        <v>622</v>
      </c>
      <c r="H319" s="603" t="s">
        <v>62</v>
      </c>
      <c r="I319" s="40" t="s">
        <v>46</v>
      </c>
      <c r="J319" s="41">
        <v>1614670578</v>
      </c>
      <c r="K319" s="444">
        <v>1.4999999999999999E-2</v>
      </c>
      <c r="L319" s="444"/>
      <c r="M319" s="444"/>
      <c r="N319" s="52">
        <v>2E-3</v>
      </c>
      <c r="O319" s="52">
        <v>0.01</v>
      </c>
      <c r="P319" s="444"/>
      <c r="Q319" s="434">
        <v>20764802</v>
      </c>
      <c r="R319" s="41">
        <v>2733870</v>
      </c>
      <c r="S319" s="672"/>
      <c r="T319" s="41">
        <v>14580655</v>
      </c>
      <c r="U319" s="41">
        <v>2421950</v>
      </c>
      <c r="V319" s="41">
        <v>933204</v>
      </c>
      <c r="W319" s="672">
        <v>95123</v>
      </c>
      <c r="X319" s="41"/>
      <c r="Y319" s="672"/>
      <c r="Z319" s="733"/>
      <c r="AA319" s="434">
        <f t="shared" si="38"/>
        <v>20669679</v>
      </c>
      <c r="AB319" s="42">
        <f t="shared" si="32"/>
        <v>0.13226475360357556</v>
      </c>
      <c r="AC319" s="42">
        <f t="shared" si="33"/>
        <v>0.11717404996952299</v>
      </c>
      <c r="AD319" s="42">
        <f t="shared" si="34"/>
        <v>1.693144123172349E-3</v>
      </c>
      <c r="AE319" s="42">
        <f t="shared" si="35"/>
        <v>1.4999654003728308E-3</v>
      </c>
      <c r="AF319" s="721">
        <f t="shared" si="39"/>
        <v>1.2801173986586383E-2</v>
      </c>
    </row>
    <row r="320" spans="1:32">
      <c r="A320" s="643" t="s">
        <v>631</v>
      </c>
      <c r="B320" s="50" t="s">
        <v>632</v>
      </c>
      <c r="C320" s="50" t="s">
        <v>1395</v>
      </c>
      <c r="D320" s="51" t="s">
        <v>553</v>
      </c>
      <c r="E320" s="50" t="s">
        <v>621</v>
      </c>
      <c r="F320" s="50" t="s">
        <v>884</v>
      </c>
      <c r="G320" s="50" t="s">
        <v>622</v>
      </c>
      <c r="H320" s="603" t="s">
        <v>62</v>
      </c>
      <c r="I320" s="40" t="s">
        <v>46</v>
      </c>
      <c r="J320" s="41">
        <v>1045044619</v>
      </c>
      <c r="K320" s="52">
        <v>0.02</v>
      </c>
      <c r="L320" s="444"/>
      <c r="M320" s="444"/>
      <c r="N320" s="52">
        <v>2E-3</v>
      </c>
      <c r="O320" s="52"/>
      <c r="P320" s="444"/>
      <c r="Q320" s="434">
        <v>11263287</v>
      </c>
      <c r="R320" s="41">
        <v>11168987</v>
      </c>
      <c r="S320" s="672"/>
      <c r="T320" s="41"/>
      <c r="U320" s="41">
        <v>0</v>
      </c>
      <c r="V320" s="41">
        <v>0</v>
      </c>
      <c r="W320" s="672">
        <v>94300</v>
      </c>
      <c r="X320" s="41"/>
      <c r="Y320" s="672"/>
      <c r="Z320" s="733"/>
      <c r="AA320" s="434">
        <f t="shared" si="38"/>
        <v>11168987</v>
      </c>
      <c r="AB320" s="42">
        <f t="shared" si="32"/>
        <v>1</v>
      </c>
      <c r="AC320" s="42">
        <f t="shared" si="33"/>
        <v>0</v>
      </c>
      <c r="AD320" s="42">
        <f t="shared" si="34"/>
        <v>1.0687569503671116E-2</v>
      </c>
      <c r="AE320" s="42">
        <f t="shared" si="35"/>
        <v>0</v>
      </c>
      <c r="AF320" s="721">
        <f t="shared" si="39"/>
        <v>1.0687569503671116E-2</v>
      </c>
    </row>
    <row r="321" spans="1:32">
      <c r="A321" s="643" t="s">
        <v>633</v>
      </c>
      <c r="B321" s="450" t="s">
        <v>634</v>
      </c>
      <c r="C321" s="450" t="s">
        <v>1395</v>
      </c>
      <c r="D321" s="51" t="s">
        <v>553</v>
      </c>
      <c r="E321" s="50" t="s">
        <v>621</v>
      </c>
      <c r="F321" s="50" t="s">
        <v>884</v>
      </c>
      <c r="G321" s="50" t="s">
        <v>622</v>
      </c>
      <c r="H321" s="603" t="s">
        <v>62</v>
      </c>
      <c r="I321" s="40" t="s">
        <v>46</v>
      </c>
      <c r="J321" s="41">
        <v>1723649101</v>
      </c>
      <c r="K321" s="444">
        <v>1.4999999999999999E-2</v>
      </c>
      <c r="L321" s="444"/>
      <c r="M321" s="444"/>
      <c r="N321" s="52">
        <v>2E-3</v>
      </c>
      <c r="O321" s="52"/>
      <c r="P321" s="444"/>
      <c r="Q321" s="434">
        <v>26110597</v>
      </c>
      <c r="R321" s="41">
        <v>7459980</v>
      </c>
      <c r="S321" s="672"/>
      <c r="T321" s="41">
        <v>14839823</v>
      </c>
      <c r="U321" s="41">
        <v>2782467</v>
      </c>
      <c r="V321" s="41">
        <v>933204</v>
      </c>
      <c r="W321" s="672">
        <v>95123</v>
      </c>
      <c r="X321" s="41"/>
      <c r="Y321" s="672"/>
      <c r="Z321" s="733"/>
      <c r="AA321" s="434">
        <f t="shared" si="38"/>
        <v>26015474</v>
      </c>
      <c r="AB321" s="42">
        <f t="shared" si="32"/>
        <v>0.28675164634709327</v>
      </c>
      <c r="AC321" s="42">
        <f t="shared" si="33"/>
        <v>0.10695430727112641</v>
      </c>
      <c r="AD321" s="42">
        <f t="shared" si="34"/>
        <v>4.3280154850961162E-3</v>
      </c>
      <c r="AE321" s="42">
        <f t="shared" si="35"/>
        <v>1.6142885453806761E-3</v>
      </c>
      <c r="AF321" s="721">
        <f t="shared" si="39"/>
        <v>1.5093254180857777E-2</v>
      </c>
    </row>
    <row r="322" spans="1:32">
      <c r="A322" s="643" t="s">
        <v>635</v>
      </c>
      <c r="B322" s="50" t="s">
        <v>636</v>
      </c>
      <c r="C322" s="50" t="s">
        <v>1395</v>
      </c>
      <c r="D322" s="51" t="s">
        <v>553</v>
      </c>
      <c r="E322" s="50" t="s">
        <v>621</v>
      </c>
      <c r="F322" s="50" t="s">
        <v>884</v>
      </c>
      <c r="G322" s="50" t="s">
        <v>622</v>
      </c>
      <c r="H322" s="603" t="s">
        <v>62</v>
      </c>
      <c r="I322" s="603" t="s">
        <v>46</v>
      </c>
      <c r="J322" s="41">
        <v>1816856753</v>
      </c>
      <c r="K322" s="52">
        <v>0.02</v>
      </c>
      <c r="L322" s="444"/>
      <c r="M322" s="444"/>
      <c r="N322" s="52">
        <v>2E-3</v>
      </c>
      <c r="O322" s="52"/>
      <c r="P322" s="444"/>
      <c r="Q322" s="434">
        <v>29008541</v>
      </c>
      <c r="R322" s="41">
        <v>28914241</v>
      </c>
      <c r="S322" s="672"/>
      <c r="T322" s="41"/>
      <c r="U322" s="41">
        <v>0</v>
      </c>
      <c r="V322" s="41">
        <v>0</v>
      </c>
      <c r="W322" s="672">
        <v>94300</v>
      </c>
      <c r="X322" s="41"/>
      <c r="Y322" s="672"/>
      <c r="Z322" s="733"/>
      <c r="AA322" s="434">
        <f t="shared" si="38"/>
        <v>28914241</v>
      </c>
      <c r="AB322" s="42">
        <f t="shared" si="32"/>
        <v>1</v>
      </c>
      <c r="AC322" s="42">
        <f t="shared" si="33"/>
        <v>0</v>
      </c>
      <c r="AD322" s="42">
        <f t="shared" si="34"/>
        <v>1.5914430761950114E-2</v>
      </c>
      <c r="AE322" s="42">
        <f t="shared" si="35"/>
        <v>0</v>
      </c>
      <c r="AF322" s="721">
        <f t="shared" si="39"/>
        <v>1.5914430761950114E-2</v>
      </c>
    </row>
    <row r="323" spans="1:32">
      <c r="A323" s="643" t="s">
        <v>637</v>
      </c>
      <c r="B323" s="50" t="s">
        <v>638</v>
      </c>
      <c r="C323" s="50" t="s">
        <v>1395</v>
      </c>
      <c r="D323" s="50" t="s">
        <v>43</v>
      </c>
      <c r="E323" s="50" t="s">
        <v>44</v>
      </c>
      <c r="F323" s="50" t="s">
        <v>1348</v>
      </c>
      <c r="G323" s="50" t="s">
        <v>58</v>
      </c>
      <c r="H323" s="40" t="s">
        <v>62</v>
      </c>
      <c r="I323" s="40" t="s">
        <v>46</v>
      </c>
      <c r="J323" s="41">
        <v>181520156</v>
      </c>
      <c r="K323" s="52">
        <v>5.0000000000000001E-3</v>
      </c>
      <c r="L323" s="444"/>
      <c r="M323" s="444"/>
      <c r="N323" s="52">
        <v>2E-3</v>
      </c>
      <c r="O323" s="52">
        <v>1.525E-2</v>
      </c>
      <c r="P323" s="444"/>
      <c r="Q323" s="434">
        <v>3679077</v>
      </c>
      <c r="R323" s="41">
        <v>363667</v>
      </c>
      <c r="S323" s="672"/>
      <c r="T323" s="41">
        <v>1454669</v>
      </c>
      <c r="U323" s="41">
        <v>363667</v>
      </c>
      <c r="V323" s="41">
        <v>863538</v>
      </c>
      <c r="W323" s="672">
        <v>633536</v>
      </c>
      <c r="X323" s="41"/>
      <c r="Y323" s="672"/>
      <c r="Z323" s="733"/>
      <c r="AA323" s="434">
        <f t="shared" si="38"/>
        <v>3045541</v>
      </c>
      <c r="AB323" s="42">
        <f t="shared" ref="AB323:AB386" si="40">+R323/AA323</f>
        <v>0.11940965496770524</v>
      </c>
      <c r="AC323" s="42">
        <f t="shared" ref="AC323:AC386" si="41">+U323/AA323</f>
        <v>0.11940965496770524</v>
      </c>
      <c r="AD323" s="42">
        <f t="shared" ref="AD323:AD386" si="42">+R323/J323</f>
        <v>2.0034524430443965E-3</v>
      </c>
      <c r="AE323" s="42">
        <f t="shared" ref="AE323:AE386" si="43">+U323/J323</f>
        <v>2.0034524430443965E-3</v>
      </c>
      <c r="AF323" s="721">
        <f t="shared" si="39"/>
        <v>1.6777976986754022E-2</v>
      </c>
    </row>
    <row r="324" spans="1:32">
      <c r="A324" s="643" t="s">
        <v>639</v>
      </c>
      <c r="B324" s="50" t="s">
        <v>640</v>
      </c>
      <c r="C324" s="50" t="s">
        <v>1395</v>
      </c>
      <c r="D324" s="50" t="s">
        <v>43</v>
      </c>
      <c r="E324" s="50" t="s">
        <v>44</v>
      </c>
      <c r="F324" s="50" t="s">
        <v>1348</v>
      </c>
      <c r="G324" s="50" t="s">
        <v>641</v>
      </c>
      <c r="H324" s="40" t="s">
        <v>62</v>
      </c>
      <c r="I324" s="40" t="s">
        <v>69</v>
      </c>
      <c r="J324" s="41">
        <v>40798690.759999998</v>
      </c>
      <c r="K324" s="52">
        <v>0.01</v>
      </c>
      <c r="L324" s="444"/>
      <c r="M324" s="444"/>
      <c r="N324" s="52">
        <v>2E-3</v>
      </c>
      <c r="O324" s="52">
        <v>1.025E-2</v>
      </c>
      <c r="P324" s="444"/>
      <c r="Q324" s="434">
        <v>463281</v>
      </c>
      <c r="R324" s="41">
        <v>122396</v>
      </c>
      <c r="S324" s="672"/>
      <c r="T324" s="41">
        <v>285591</v>
      </c>
      <c r="U324" s="41">
        <v>40799</v>
      </c>
      <c r="V324" s="41">
        <v>14299</v>
      </c>
      <c r="W324" s="672">
        <v>196</v>
      </c>
      <c r="X324" s="41"/>
      <c r="Y324" s="672"/>
      <c r="Z324" s="733"/>
      <c r="AA324" s="434">
        <f t="shared" si="38"/>
        <v>463085</v>
      </c>
      <c r="AB324" s="42">
        <f t="shared" si="40"/>
        <v>0.26430568902037421</v>
      </c>
      <c r="AC324" s="42">
        <f t="shared" si="41"/>
        <v>8.8102616150382757E-2</v>
      </c>
      <c r="AD324" s="42">
        <f t="shared" si="42"/>
        <v>2.9999982283745227E-3</v>
      </c>
      <c r="AE324" s="42">
        <f t="shared" si="43"/>
        <v>1.00000757965499E-3</v>
      </c>
      <c r="AF324" s="721">
        <f t="shared" si="39"/>
        <v>1.1350486777237948E-2</v>
      </c>
    </row>
    <row r="325" spans="1:32">
      <c r="A325" s="643" t="s">
        <v>642</v>
      </c>
      <c r="B325" s="50" t="s">
        <v>643</v>
      </c>
      <c r="C325" s="50" t="s">
        <v>1395</v>
      </c>
      <c r="D325" s="50" t="s">
        <v>43</v>
      </c>
      <c r="E325" s="50" t="s">
        <v>44</v>
      </c>
      <c r="F325" s="50" t="s">
        <v>1348</v>
      </c>
      <c r="G325" s="50" t="s">
        <v>58</v>
      </c>
      <c r="H325" s="40" t="s">
        <v>62</v>
      </c>
      <c r="I325" s="40" t="s">
        <v>46</v>
      </c>
      <c r="J325" s="41">
        <v>873629291</v>
      </c>
      <c r="K325" s="52">
        <v>0.01</v>
      </c>
      <c r="L325" s="444"/>
      <c r="M325" s="444"/>
      <c r="N325" s="52">
        <v>2E-3</v>
      </c>
      <c r="O325" s="52">
        <v>1.025E-2</v>
      </c>
      <c r="P325" s="444"/>
      <c r="Q325" s="434">
        <v>19584830</v>
      </c>
      <c r="R325" s="41">
        <v>6540340</v>
      </c>
      <c r="S325" s="672"/>
      <c r="T325" s="41">
        <v>7412386</v>
      </c>
      <c r="U325" s="41">
        <v>1744091</v>
      </c>
      <c r="V325" s="41">
        <v>1464578</v>
      </c>
      <c r="W325" s="672">
        <v>2423435</v>
      </c>
      <c r="X325" s="41"/>
      <c r="Y325" s="672"/>
      <c r="Z325" s="733"/>
      <c r="AA325" s="434">
        <f t="shared" si="38"/>
        <v>17161395</v>
      </c>
      <c r="AB325" s="42">
        <f t="shared" si="40"/>
        <v>0.38110771298020935</v>
      </c>
      <c r="AC325" s="42">
        <f t="shared" si="41"/>
        <v>0.10162874288482958</v>
      </c>
      <c r="AD325" s="42">
        <f t="shared" si="42"/>
        <v>7.4864019182708467E-3</v>
      </c>
      <c r="AE325" s="42">
        <f t="shared" si="43"/>
        <v>1.9963742264223145E-3</v>
      </c>
      <c r="AF325" s="721">
        <f t="shared" si="39"/>
        <v>1.9643795345227269E-2</v>
      </c>
    </row>
    <row r="326" spans="1:32">
      <c r="A326" s="643" t="s">
        <v>644</v>
      </c>
      <c r="B326" s="644" t="s">
        <v>645</v>
      </c>
      <c r="C326" s="644" t="s">
        <v>1395</v>
      </c>
      <c r="D326" s="51" t="s">
        <v>553</v>
      </c>
      <c r="E326" s="50" t="s">
        <v>621</v>
      </c>
      <c r="F326" s="50" t="s">
        <v>884</v>
      </c>
      <c r="G326" s="50" t="s">
        <v>622</v>
      </c>
      <c r="H326" s="603" t="s">
        <v>62</v>
      </c>
      <c r="I326" s="40" t="s">
        <v>46</v>
      </c>
      <c r="J326" s="41">
        <v>1593019439</v>
      </c>
      <c r="K326" s="444">
        <v>1.4999999999999999E-2</v>
      </c>
      <c r="L326" s="444"/>
      <c r="M326" s="444"/>
      <c r="N326" s="52">
        <v>2E-3</v>
      </c>
      <c r="O326" s="52">
        <v>0.01</v>
      </c>
      <c r="P326" s="444"/>
      <c r="Q326" s="434">
        <v>15470006</v>
      </c>
      <c r="R326" s="41">
        <v>2057501</v>
      </c>
      <c r="S326" s="672"/>
      <c r="T326" s="41">
        <v>10309583</v>
      </c>
      <c r="U326" s="41">
        <v>2074595</v>
      </c>
      <c r="V326" s="41">
        <v>933204</v>
      </c>
      <c r="W326" s="672">
        <v>95123</v>
      </c>
      <c r="X326" s="41"/>
      <c r="Y326" s="672"/>
      <c r="Z326" s="733"/>
      <c r="AA326" s="434">
        <f t="shared" si="38"/>
        <v>15374883</v>
      </c>
      <c r="AB326" s="42">
        <f t="shared" si="40"/>
        <v>0.13382222160649937</v>
      </c>
      <c r="AC326" s="42">
        <f t="shared" si="41"/>
        <v>0.1349340349451765</v>
      </c>
      <c r="AD326" s="42">
        <f t="shared" si="42"/>
        <v>1.2915730653554191E-3</v>
      </c>
      <c r="AE326" s="42">
        <f t="shared" si="43"/>
        <v>1.3023036312113704E-3</v>
      </c>
      <c r="AF326" s="721">
        <f t="shared" si="39"/>
        <v>9.6514095331136762E-3</v>
      </c>
    </row>
    <row r="327" spans="1:32">
      <c r="A327" s="643" t="s">
        <v>646</v>
      </c>
      <c r="B327" s="50" t="s">
        <v>647</v>
      </c>
      <c r="C327" s="50" t="s">
        <v>1395</v>
      </c>
      <c r="D327" s="51" t="s">
        <v>553</v>
      </c>
      <c r="E327" s="50" t="s">
        <v>621</v>
      </c>
      <c r="F327" s="50" t="s">
        <v>884</v>
      </c>
      <c r="G327" s="50" t="s">
        <v>622</v>
      </c>
      <c r="H327" s="40" t="s">
        <v>62</v>
      </c>
      <c r="I327" s="40" t="s">
        <v>46</v>
      </c>
      <c r="J327" s="41">
        <v>2165659099</v>
      </c>
      <c r="K327" s="52">
        <v>0.02</v>
      </c>
      <c r="L327" s="444"/>
      <c r="M327" s="444"/>
      <c r="N327" s="52">
        <v>2E-3</v>
      </c>
      <c r="O327" s="52"/>
      <c r="P327" s="444"/>
      <c r="Q327" s="434">
        <v>20545714</v>
      </c>
      <c r="R327" s="41">
        <v>20451414</v>
      </c>
      <c r="S327" s="672"/>
      <c r="T327" s="41"/>
      <c r="U327" s="41">
        <v>0</v>
      </c>
      <c r="V327" s="41">
        <v>0</v>
      </c>
      <c r="W327" s="672">
        <v>94300</v>
      </c>
      <c r="X327" s="41"/>
      <c r="Y327" s="672"/>
      <c r="Z327" s="733"/>
      <c r="AA327" s="434">
        <f t="shared" si="38"/>
        <v>20451414</v>
      </c>
      <c r="AB327" s="42">
        <f t="shared" si="40"/>
        <v>1</v>
      </c>
      <c r="AC327" s="42">
        <f t="shared" si="41"/>
        <v>0</v>
      </c>
      <c r="AD327" s="42">
        <f t="shared" si="42"/>
        <v>9.4435056789147955E-3</v>
      </c>
      <c r="AE327" s="42">
        <f t="shared" si="43"/>
        <v>0</v>
      </c>
      <c r="AF327" s="721">
        <f t="shared" si="39"/>
        <v>9.4435056789147955E-3</v>
      </c>
    </row>
    <row r="328" spans="1:32">
      <c r="A328" s="643" t="s">
        <v>648</v>
      </c>
      <c r="B328" s="50" t="s">
        <v>649</v>
      </c>
      <c r="C328" s="50" t="s">
        <v>1395</v>
      </c>
      <c r="D328" s="51" t="s">
        <v>553</v>
      </c>
      <c r="E328" s="50" t="s">
        <v>621</v>
      </c>
      <c r="F328" s="50" t="s">
        <v>884</v>
      </c>
      <c r="G328" s="50" t="s">
        <v>622</v>
      </c>
      <c r="H328" s="40" t="s">
        <v>62</v>
      </c>
      <c r="I328" s="40" t="s">
        <v>46</v>
      </c>
      <c r="J328" s="41">
        <v>1767358831</v>
      </c>
      <c r="K328" s="52">
        <v>0.02</v>
      </c>
      <c r="L328" s="444"/>
      <c r="M328" s="444"/>
      <c r="N328" s="52">
        <v>2E-3</v>
      </c>
      <c r="O328" s="52"/>
      <c r="P328" s="444"/>
      <c r="Q328" s="434">
        <v>33275698</v>
      </c>
      <c r="R328" s="41">
        <v>33181398</v>
      </c>
      <c r="S328" s="672"/>
      <c r="T328" s="41"/>
      <c r="U328" s="41">
        <v>0</v>
      </c>
      <c r="V328" s="41">
        <v>0</v>
      </c>
      <c r="W328" s="672">
        <v>94300</v>
      </c>
      <c r="X328" s="41"/>
      <c r="Y328" s="672"/>
      <c r="Z328" s="733"/>
      <c r="AA328" s="434">
        <f t="shared" si="38"/>
        <v>33181398</v>
      </c>
      <c r="AB328" s="42">
        <f t="shared" si="40"/>
        <v>1</v>
      </c>
      <c r="AC328" s="42">
        <f t="shared" si="41"/>
        <v>0</v>
      </c>
      <c r="AD328" s="42">
        <f t="shared" si="42"/>
        <v>1.8774567687098058E-2</v>
      </c>
      <c r="AE328" s="42">
        <f t="shared" si="43"/>
        <v>0</v>
      </c>
      <c r="AF328" s="721">
        <f t="shared" si="39"/>
        <v>1.8774567687098058E-2</v>
      </c>
    </row>
    <row r="329" spans="1:32">
      <c r="A329" s="643" t="s">
        <v>650</v>
      </c>
      <c r="B329" s="50" t="s">
        <v>651</v>
      </c>
      <c r="C329" s="50" t="s">
        <v>1395</v>
      </c>
      <c r="D329" s="50" t="s">
        <v>43</v>
      </c>
      <c r="E329" s="50" t="s">
        <v>44</v>
      </c>
      <c r="F329" s="50" t="s">
        <v>1348</v>
      </c>
      <c r="G329" s="50" t="s">
        <v>56</v>
      </c>
      <c r="H329" s="40" t="s">
        <v>62</v>
      </c>
      <c r="I329" s="40" t="s">
        <v>46</v>
      </c>
      <c r="J329" s="41">
        <v>340423648</v>
      </c>
      <c r="K329" s="52">
        <v>5.0000000000000001E-3</v>
      </c>
      <c r="L329" s="444"/>
      <c r="M329" s="444"/>
      <c r="N329" s="52">
        <v>2E-3</v>
      </c>
      <c r="O329" s="52">
        <v>1.025E-2</v>
      </c>
      <c r="P329" s="444"/>
      <c r="Q329" s="434">
        <v>5390275</v>
      </c>
      <c r="R329" s="41">
        <v>512125</v>
      </c>
      <c r="S329" s="672"/>
      <c r="T329" s="41">
        <v>2902044</v>
      </c>
      <c r="U329" s="41">
        <v>341417</v>
      </c>
      <c r="V329" s="41">
        <v>836053</v>
      </c>
      <c r="W329" s="672">
        <v>798636</v>
      </c>
      <c r="X329" s="41"/>
      <c r="Y329" s="672"/>
      <c r="Z329" s="733"/>
      <c r="AA329" s="434">
        <f t="shared" si="38"/>
        <v>4591639</v>
      </c>
      <c r="AB329" s="42">
        <f t="shared" si="40"/>
        <v>0.11153424735698952</v>
      </c>
      <c r="AC329" s="42">
        <f t="shared" si="41"/>
        <v>7.4356237500378411E-2</v>
      </c>
      <c r="AD329" s="42">
        <f t="shared" si="42"/>
        <v>1.5043755127140874E-3</v>
      </c>
      <c r="AE329" s="42">
        <f t="shared" si="43"/>
        <v>1.0029179876481437E-3</v>
      </c>
      <c r="AF329" s="721">
        <f t="shared" si="39"/>
        <v>1.3488014205170611E-2</v>
      </c>
    </row>
    <row r="330" spans="1:32">
      <c r="A330" s="643" t="s">
        <v>652</v>
      </c>
      <c r="B330" s="50" t="s">
        <v>653</v>
      </c>
      <c r="C330" s="50" t="s">
        <v>1395</v>
      </c>
      <c r="D330" s="50" t="s">
        <v>43</v>
      </c>
      <c r="E330" s="50" t="s">
        <v>44</v>
      </c>
      <c r="F330" s="50" t="s">
        <v>1348</v>
      </c>
      <c r="G330" s="50" t="s">
        <v>56</v>
      </c>
      <c r="H330" s="40" t="s">
        <v>45</v>
      </c>
      <c r="I330" s="40" t="s">
        <v>46</v>
      </c>
      <c r="J330" s="41">
        <v>-232566</v>
      </c>
      <c r="K330" s="52">
        <v>0</v>
      </c>
      <c r="L330" s="444"/>
      <c r="M330" s="444"/>
      <c r="N330" s="52">
        <v>0</v>
      </c>
      <c r="O330" s="52"/>
      <c r="P330" s="444"/>
      <c r="Q330" s="434">
        <v>22656</v>
      </c>
      <c r="R330" s="41">
        <v>0</v>
      </c>
      <c r="S330" s="672"/>
      <c r="T330" s="41"/>
      <c r="U330" s="41">
        <v>0</v>
      </c>
      <c r="V330" s="41">
        <v>13213</v>
      </c>
      <c r="W330" s="672">
        <v>9443</v>
      </c>
      <c r="X330" s="41"/>
      <c r="Y330" s="672"/>
      <c r="Z330" s="733"/>
      <c r="AA330" s="434">
        <f t="shared" si="38"/>
        <v>13213</v>
      </c>
      <c r="AB330" s="42">
        <f t="shared" si="40"/>
        <v>0</v>
      </c>
      <c r="AC330" s="42">
        <f t="shared" si="41"/>
        <v>0</v>
      </c>
      <c r="AD330" s="42">
        <f t="shared" si="42"/>
        <v>0</v>
      </c>
      <c r="AE330" s="42">
        <f t="shared" si="43"/>
        <v>0</v>
      </c>
      <c r="AF330" s="721">
        <f t="shared" si="39"/>
        <v>-5.6813979687486561E-2</v>
      </c>
    </row>
    <row r="331" spans="1:32">
      <c r="A331" s="643" t="s">
        <v>654</v>
      </c>
      <c r="B331" s="50" t="s">
        <v>655</v>
      </c>
      <c r="C331" s="50" t="s">
        <v>1395</v>
      </c>
      <c r="D331" s="50" t="s">
        <v>43</v>
      </c>
      <c r="E331" s="50" t="s">
        <v>44</v>
      </c>
      <c r="F331" s="50" t="s">
        <v>1348</v>
      </c>
      <c r="G331" s="50" t="s">
        <v>641</v>
      </c>
      <c r="H331" s="40" t="s">
        <v>45</v>
      </c>
      <c r="I331" s="40" t="s">
        <v>46</v>
      </c>
      <c r="J331" s="41">
        <v>58057938051</v>
      </c>
      <c r="K331" s="52">
        <v>5.0000000000000001E-3</v>
      </c>
      <c r="L331" s="444"/>
      <c r="M331" s="444"/>
      <c r="N331" s="52">
        <v>2E-3</v>
      </c>
      <c r="O331" s="52">
        <v>1.525E-2</v>
      </c>
      <c r="P331" s="444"/>
      <c r="Q331" s="434">
        <v>1002487158</v>
      </c>
      <c r="R331" s="41">
        <v>174173814</v>
      </c>
      <c r="S331" s="672"/>
      <c r="T331" s="41">
        <v>696695257</v>
      </c>
      <c r="U331" s="41">
        <v>116115876</v>
      </c>
      <c r="V331" s="41">
        <v>15377862</v>
      </c>
      <c r="W331" s="672">
        <v>124349</v>
      </c>
      <c r="X331" s="41"/>
      <c r="Y331" s="672"/>
      <c r="Z331" s="733"/>
      <c r="AA331" s="434">
        <f t="shared" si="38"/>
        <v>1002362809</v>
      </c>
      <c r="AB331" s="42">
        <f t="shared" si="40"/>
        <v>0.17376324464169141</v>
      </c>
      <c r="AC331" s="42">
        <f t="shared" si="41"/>
        <v>0.11584216309446094</v>
      </c>
      <c r="AD331" s="42">
        <f t="shared" si="42"/>
        <v>2.9999999973647014E-3</v>
      </c>
      <c r="AE331" s="42">
        <f t="shared" si="43"/>
        <v>1.9999999982431341E-3</v>
      </c>
      <c r="AF331" s="721">
        <f t="shared" si="39"/>
        <v>1.726487096595631E-2</v>
      </c>
    </row>
    <row r="332" spans="1:32">
      <c r="A332" s="643" t="s">
        <v>656</v>
      </c>
      <c r="B332" s="50" t="s">
        <v>657</v>
      </c>
      <c r="C332" s="50" t="s">
        <v>1395</v>
      </c>
      <c r="D332" s="51" t="s">
        <v>553</v>
      </c>
      <c r="E332" s="50" t="s">
        <v>621</v>
      </c>
      <c r="F332" s="50" t="s">
        <v>884</v>
      </c>
      <c r="G332" s="50" t="s">
        <v>622</v>
      </c>
      <c r="H332" s="40" t="s">
        <v>62</v>
      </c>
      <c r="I332" s="40" t="s">
        <v>46</v>
      </c>
      <c r="J332" s="41">
        <v>1607884200</v>
      </c>
      <c r="K332" s="52">
        <v>0.02</v>
      </c>
      <c r="L332" s="444"/>
      <c r="M332" s="444"/>
      <c r="N332" s="52">
        <v>2E-3</v>
      </c>
      <c r="O332" s="52"/>
      <c r="P332" s="444"/>
      <c r="Q332" s="434">
        <v>14354299</v>
      </c>
      <c r="R332" s="41">
        <v>14259999</v>
      </c>
      <c r="S332" s="672"/>
      <c r="T332" s="41"/>
      <c r="U332" s="41">
        <v>0</v>
      </c>
      <c r="V332" s="41">
        <v>0</v>
      </c>
      <c r="W332" s="672">
        <v>94300</v>
      </c>
      <c r="X332" s="41"/>
      <c r="Y332" s="672"/>
      <c r="Z332" s="733"/>
      <c r="AA332" s="434">
        <f t="shared" si="38"/>
        <v>14259999</v>
      </c>
      <c r="AB332" s="42">
        <f t="shared" si="40"/>
        <v>1</v>
      </c>
      <c r="AC332" s="42">
        <f t="shared" si="41"/>
        <v>0</v>
      </c>
      <c r="AD332" s="42">
        <f t="shared" si="42"/>
        <v>8.8687972678629465E-3</v>
      </c>
      <c r="AE332" s="42">
        <f t="shared" si="43"/>
        <v>0</v>
      </c>
      <c r="AF332" s="721">
        <f t="shared" si="39"/>
        <v>8.8687972678629465E-3</v>
      </c>
    </row>
    <row r="333" spans="1:32">
      <c r="A333" s="643" t="s">
        <v>658</v>
      </c>
      <c r="B333" s="50" t="s">
        <v>659</v>
      </c>
      <c r="C333" s="50" t="s">
        <v>1395</v>
      </c>
      <c r="D333" s="51" t="s">
        <v>553</v>
      </c>
      <c r="E333" s="50" t="s">
        <v>621</v>
      </c>
      <c r="F333" s="50" t="s">
        <v>884</v>
      </c>
      <c r="G333" s="50" t="s">
        <v>622</v>
      </c>
      <c r="H333" s="40" t="s">
        <v>62</v>
      </c>
      <c r="I333" s="40" t="s">
        <v>46</v>
      </c>
      <c r="J333" s="41">
        <v>1682159964</v>
      </c>
      <c r="K333" s="52">
        <v>0.02</v>
      </c>
      <c r="L333" s="444"/>
      <c r="M333" s="444"/>
      <c r="N333" s="52">
        <v>2E-3</v>
      </c>
      <c r="O333" s="52"/>
      <c r="P333" s="444"/>
      <c r="Q333" s="434">
        <v>16636100</v>
      </c>
      <c r="R333" s="41">
        <v>16541800</v>
      </c>
      <c r="S333" s="672"/>
      <c r="T333" s="41"/>
      <c r="U333" s="41">
        <v>0</v>
      </c>
      <c r="V333" s="41">
        <v>0</v>
      </c>
      <c r="W333" s="672">
        <v>94300</v>
      </c>
      <c r="X333" s="41"/>
      <c r="Y333" s="672"/>
      <c r="Z333" s="733"/>
      <c r="AA333" s="434">
        <f t="shared" si="38"/>
        <v>16541800</v>
      </c>
      <c r="AB333" s="42">
        <f t="shared" si="40"/>
        <v>1</v>
      </c>
      <c r="AC333" s="42">
        <f t="shared" si="41"/>
        <v>0</v>
      </c>
      <c r="AD333" s="42">
        <f t="shared" si="42"/>
        <v>9.8336664490963951E-3</v>
      </c>
      <c r="AE333" s="42">
        <f t="shared" si="43"/>
        <v>0</v>
      </c>
      <c r="AF333" s="721">
        <f t="shared" si="39"/>
        <v>9.8336664490963951E-3</v>
      </c>
    </row>
    <row r="334" spans="1:32">
      <c r="A334" s="643" t="s">
        <v>660</v>
      </c>
      <c r="B334" s="50" t="s">
        <v>661</v>
      </c>
      <c r="C334" s="50" t="s">
        <v>1395</v>
      </c>
      <c r="D334" s="51" t="s">
        <v>553</v>
      </c>
      <c r="E334" s="50" t="s">
        <v>621</v>
      </c>
      <c r="F334" s="50" t="s">
        <v>884</v>
      </c>
      <c r="G334" s="50" t="s">
        <v>622</v>
      </c>
      <c r="H334" s="40" t="s">
        <v>62</v>
      </c>
      <c r="I334" s="40" t="s">
        <v>46</v>
      </c>
      <c r="J334" s="41">
        <v>2022550124</v>
      </c>
      <c r="K334" s="52">
        <v>0.02</v>
      </c>
      <c r="L334" s="444"/>
      <c r="M334" s="444"/>
      <c r="N334" s="52">
        <v>2E-3</v>
      </c>
      <c r="O334" s="52"/>
      <c r="P334" s="444"/>
      <c r="Q334" s="434">
        <v>20555501</v>
      </c>
      <c r="R334" s="41">
        <v>20461201</v>
      </c>
      <c r="S334" s="672"/>
      <c r="T334" s="41"/>
      <c r="U334" s="41">
        <v>0</v>
      </c>
      <c r="V334" s="41">
        <v>0</v>
      </c>
      <c r="W334" s="672">
        <v>94300</v>
      </c>
      <c r="X334" s="41"/>
      <c r="Y334" s="672"/>
      <c r="Z334" s="733"/>
      <c r="AA334" s="434">
        <f t="shared" si="38"/>
        <v>20461201</v>
      </c>
      <c r="AB334" s="42">
        <f t="shared" si="40"/>
        <v>1</v>
      </c>
      <c r="AC334" s="42">
        <f t="shared" si="41"/>
        <v>0</v>
      </c>
      <c r="AD334" s="42">
        <f t="shared" si="42"/>
        <v>1.0116535930162193E-2</v>
      </c>
      <c r="AE334" s="42">
        <f t="shared" si="43"/>
        <v>0</v>
      </c>
      <c r="AF334" s="721">
        <f t="shared" si="39"/>
        <v>1.0116535930162193E-2</v>
      </c>
    </row>
    <row r="335" spans="1:32">
      <c r="A335" s="643" t="s">
        <v>662</v>
      </c>
      <c r="B335" s="50" t="s">
        <v>663</v>
      </c>
      <c r="C335" s="50" t="s">
        <v>1395</v>
      </c>
      <c r="D335" s="50" t="s">
        <v>43</v>
      </c>
      <c r="E335" s="50" t="s">
        <v>44</v>
      </c>
      <c r="F335" s="50" t="s">
        <v>1348</v>
      </c>
      <c r="G335" s="50" t="s">
        <v>48</v>
      </c>
      <c r="H335" s="40" t="s">
        <v>45</v>
      </c>
      <c r="I335" s="40" t="s">
        <v>46</v>
      </c>
      <c r="J335" s="41">
        <v>1998913573</v>
      </c>
      <c r="K335" s="52">
        <v>5.0000000000000001E-3</v>
      </c>
      <c r="L335" s="444"/>
      <c r="M335" s="444"/>
      <c r="N335" s="52">
        <v>2E-3</v>
      </c>
      <c r="O335" s="52">
        <v>1.525E-2</v>
      </c>
      <c r="P335" s="444"/>
      <c r="Q335" s="434">
        <v>32886412</v>
      </c>
      <c r="R335" s="41">
        <v>5002120</v>
      </c>
      <c r="S335" s="672"/>
      <c r="T335" s="41">
        <v>21008904</v>
      </c>
      <c r="U335" s="41">
        <v>4001696</v>
      </c>
      <c r="V335" s="41">
        <v>1969336</v>
      </c>
      <c r="W335" s="672">
        <v>904356</v>
      </c>
      <c r="X335" s="41"/>
      <c r="Y335" s="672"/>
      <c r="Z335" s="733"/>
      <c r="AA335" s="434">
        <f t="shared" si="38"/>
        <v>31982056</v>
      </c>
      <c r="AB335" s="42">
        <f t="shared" si="40"/>
        <v>0.15640395351693462</v>
      </c>
      <c r="AC335" s="42">
        <f t="shared" si="41"/>
        <v>0.12512316281354768</v>
      </c>
      <c r="AD335" s="42">
        <f t="shared" si="42"/>
        <v>2.5024193479724799E-3</v>
      </c>
      <c r="AE335" s="42">
        <f t="shared" si="43"/>
        <v>2.0019354783779838E-3</v>
      </c>
      <c r="AF335" s="721">
        <f t="shared" si="39"/>
        <v>1.5999719263500144E-2</v>
      </c>
    </row>
    <row r="336" spans="1:32">
      <c r="A336" s="643" t="s">
        <v>664</v>
      </c>
      <c r="B336" s="50" t="s">
        <v>665</v>
      </c>
      <c r="C336" s="50" t="s">
        <v>1395</v>
      </c>
      <c r="D336" s="50" t="s">
        <v>43</v>
      </c>
      <c r="E336" s="50" t="s">
        <v>44</v>
      </c>
      <c r="F336" s="50" t="s">
        <v>1348</v>
      </c>
      <c r="G336" s="50" t="s">
        <v>666</v>
      </c>
      <c r="H336" s="40" t="s">
        <v>62</v>
      </c>
      <c r="I336" s="40" t="s">
        <v>46</v>
      </c>
      <c r="J336" s="41">
        <v>401569390</v>
      </c>
      <c r="K336" s="52">
        <v>0.01</v>
      </c>
      <c r="L336" s="444"/>
      <c r="M336" s="444"/>
      <c r="N336" s="52">
        <v>2E-3</v>
      </c>
      <c r="O336" s="52">
        <v>1.025E-2</v>
      </c>
      <c r="P336" s="444"/>
      <c r="Q336" s="434">
        <v>8851315</v>
      </c>
      <c r="R336" s="41">
        <v>3010519</v>
      </c>
      <c r="S336" s="672"/>
      <c r="T336" s="41">
        <v>3411921</v>
      </c>
      <c r="U336" s="41">
        <v>702454</v>
      </c>
      <c r="V336" s="41">
        <v>1044148</v>
      </c>
      <c r="W336" s="672">
        <v>682273</v>
      </c>
      <c r="X336" s="41"/>
      <c r="Y336" s="672"/>
      <c r="Z336" s="733"/>
      <c r="AA336" s="434">
        <f t="shared" si="38"/>
        <v>8169042</v>
      </c>
      <c r="AB336" s="42">
        <f t="shared" si="40"/>
        <v>0.36852779065158436</v>
      </c>
      <c r="AC336" s="42">
        <f t="shared" si="41"/>
        <v>8.5989764772907276E-2</v>
      </c>
      <c r="AD336" s="42">
        <f t="shared" si="42"/>
        <v>7.4968836643649556E-3</v>
      </c>
      <c r="AE336" s="42">
        <f t="shared" si="43"/>
        <v>1.7492717759189764E-3</v>
      </c>
      <c r="AF336" s="721">
        <f t="shared" si="39"/>
        <v>2.0342790569769273E-2</v>
      </c>
    </row>
    <row r="337" spans="1:32">
      <c r="A337" s="643" t="s">
        <v>667</v>
      </c>
      <c r="B337" s="644" t="s">
        <v>668</v>
      </c>
      <c r="C337" s="644" t="s">
        <v>1395</v>
      </c>
      <c r="D337" s="51" t="s">
        <v>553</v>
      </c>
      <c r="E337" s="50" t="s">
        <v>621</v>
      </c>
      <c r="F337" s="40" t="s">
        <v>1348</v>
      </c>
      <c r="G337" s="40" t="s">
        <v>759</v>
      </c>
      <c r="H337" s="40" t="s">
        <v>45</v>
      </c>
      <c r="I337" s="40" t="s">
        <v>46</v>
      </c>
      <c r="J337" s="41">
        <v>975411177</v>
      </c>
      <c r="K337" s="444">
        <v>5.0000000000000001E-3</v>
      </c>
      <c r="L337" s="444"/>
      <c r="M337" s="444"/>
      <c r="N337" s="52">
        <v>2E-3</v>
      </c>
      <c r="O337" s="52">
        <v>1.4999999999999999E-2</v>
      </c>
      <c r="P337" s="444"/>
      <c r="Q337" s="434">
        <v>18017333</v>
      </c>
      <c r="R337" s="41">
        <v>4880168</v>
      </c>
      <c r="S337" s="672"/>
      <c r="T337" s="41">
        <v>9760336</v>
      </c>
      <c r="U337" s="41">
        <v>1464051</v>
      </c>
      <c r="V337" s="41">
        <v>933204</v>
      </c>
      <c r="W337" s="672">
        <v>979574</v>
      </c>
      <c r="X337" s="41"/>
      <c r="Y337" s="672"/>
      <c r="Z337" s="733"/>
      <c r="AA337" s="434">
        <f t="shared" si="38"/>
        <v>17037759</v>
      </c>
      <c r="AB337" s="42">
        <f t="shared" si="40"/>
        <v>0.28643250558949684</v>
      </c>
      <c r="AC337" s="42">
        <f t="shared" si="41"/>
        <v>8.5929786892748036E-2</v>
      </c>
      <c r="AD337" s="42">
        <f t="shared" si="42"/>
        <v>5.0031905672944738E-3</v>
      </c>
      <c r="AE337" s="42">
        <f t="shared" si="43"/>
        <v>1.5009577853135469E-3</v>
      </c>
      <c r="AF337" s="721">
        <f t="shared" si="39"/>
        <v>1.7467258323204553E-2</v>
      </c>
    </row>
    <row r="338" spans="1:32">
      <c r="A338" s="643" t="s">
        <v>669</v>
      </c>
      <c r="B338" s="644" t="s">
        <v>670</v>
      </c>
      <c r="C338" s="644" t="s">
        <v>1395</v>
      </c>
      <c r="D338" s="51" t="s">
        <v>553</v>
      </c>
      <c r="E338" s="50" t="s">
        <v>621</v>
      </c>
      <c r="F338" s="40" t="s">
        <v>1348</v>
      </c>
      <c r="G338" s="40" t="s">
        <v>759</v>
      </c>
      <c r="H338" s="40" t="s">
        <v>45</v>
      </c>
      <c r="I338" s="40" t="s">
        <v>46</v>
      </c>
      <c r="J338" s="41">
        <v>1434965359</v>
      </c>
      <c r="K338" s="444">
        <v>5.0000000000000001E-3</v>
      </c>
      <c r="L338" s="444"/>
      <c r="M338" s="444"/>
      <c r="N338" s="52">
        <v>2E-3</v>
      </c>
      <c r="O338" s="52">
        <v>1.4999999999999999E-2</v>
      </c>
      <c r="P338" s="444"/>
      <c r="Q338" s="434">
        <v>13717907</v>
      </c>
      <c r="R338" s="41">
        <v>3590063</v>
      </c>
      <c r="S338" s="672"/>
      <c r="T338" s="41">
        <v>7180126</v>
      </c>
      <c r="U338" s="41">
        <v>1148820</v>
      </c>
      <c r="V338" s="41">
        <v>933204</v>
      </c>
      <c r="W338" s="672">
        <v>865694</v>
      </c>
      <c r="X338" s="41"/>
      <c r="Y338" s="672"/>
      <c r="Z338" s="733"/>
      <c r="AA338" s="434">
        <f t="shared" ref="AA338:AA360" si="44">+R338+T338+U338+V338+X338</f>
        <v>12852213</v>
      </c>
      <c r="AB338" s="42">
        <f t="shared" si="40"/>
        <v>0.27933422827648435</v>
      </c>
      <c r="AC338" s="42">
        <f t="shared" si="41"/>
        <v>8.9386940599257114E-2</v>
      </c>
      <c r="AD338" s="42">
        <f t="shared" si="42"/>
        <v>2.5018464574655978E-3</v>
      </c>
      <c r="AE338" s="42">
        <f t="shared" si="43"/>
        <v>8.0059075488804184E-4</v>
      </c>
      <c r="AF338" s="721">
        <f t="shared" ref="AF338:AF360" si="45">+(AA338/J338)+Z338</f>
        <v>8.956462202653075E-3</v>
      </c>
    </row>
    <row r="339" spans="1:32">
      <c r="A339" s="643" t="s">
        <v>671</v>
      </c>
      <c r="B339" s="50" t="s">
        <v>672</v>
      </c>
      <c r="C339" s="50" t="s">
        <v>1395</v>
      </c>
      <c r="D339" s="50" t="s">
        <v>43</v>
      </c>
      <c r="E339" s="50" t="s">
        <v>44</v>
      </c>
      <c r="F339" s="50" t="s">
        <v>1348</v>
      </c>
      <c r="G339" s="50" t="s">
        <v>81</v>
      </c>
      <c r="H339" s="40" t="s">
        <v>45</v>
      </c>
      <c r="I339" s="40" t="s">
        <v>46</v>
      </c>
      <c r="J339" s="41">
        <v>2757505068</v>
      </c>
      <c r="K339" s="52">
        <v>5.0000000000000001E-3</v>
      </c>
      <c r="L339" s="444"/>
      <c r="M339" s="444"/>
      <c r="N339" s="52">
        <v>2E-3</v>
      </c>
      <c r="O339" s="52">
        <v>1.525E-2</v>
      </c>
      <c r="P339" s="444"/>
      <c r="Q339" s="434">
        <v>46664918</v>
      </c>
      <c r="R339" s="41">
        <v>6893763</v>
      </c>
      <c r="S339" s="672"/>
      <c r="T339" s="41">
        <v>31711308</v>
      </c>
      <c r="U339" s="41">
        <v>5515010</v>
      </c>
      <c r="V339" s="41">
        <v>1637148</v>
      </c>
      <c r="W339" s="672">
        <v>907689</v>
      </c>
      <c r="X339" s="41"/>
      <c r="Y339" s="672"/>
      <c r="Z339" s="733"/>
      <c r="AA339" s="434">
        <f t="shared" si="44"/>
        <v>45757229</v>
      </c>
      <c r="AB339" s="42">
        <f t="shared" si="40"/>
        <v>0.15065953840867419</v>
      </c>
      <c r="AC339" s="42">
        <f t="shared" si="41"/>
        <v>0.12052762198515124</v>
      </c>
      <c r="AD339" s="42">
        <f t="shared" si="42"/>
        <v>2.5000001196733975E-3</v>
      </c>
      <c r="AE339" s="42">
        <f t="shared" si="43"/>
        <v>1.9999999506800543E-3</v>
      </c>
      <c r="AF339" s="721">
        <f t="shared" si="45"/>
        <v>1.6593706220524706E-2</v>
      </c>
    </row>
    <row r="340" spans="1:32">
      <c r="A340" s="643" t="s">
        <v>673</v>
      </c>
      <c r="B340" s="50" t="s">
        <v>674</v>
      </c>
      <c r="C340" s="50" t="s">
        <v>1395</v>
      </c>
      <c r="D340" s="51" t="s">
        <v>553</v>
      </c>
      <c r="E340" s="50" t="s">
        <v>621</v>
      </c>
      <c r="F340" s="50" t="s">
        <v>884</v>
      </c>
      <c r="G340" s="50" t="s">
        <v>622</v>
      </c>
      <c r="H340" s="40" t="s">
        <v>62</v>
      </c>
      <c r="I340" s="40" t="s">
        <v>46</v>
      </c>
      <c r="J340" s="41">
        <v>3149628115</v>
      </c>
      <c r="K340" s="52">
        <v>0.02</v>
      </c>
      <c r="L340" s="444"/>
      <c r="M340" s="444"/>
      <c r="N340" s="52">
        <v>2E-3</v>
      </c>
      <c r="O340" s="52"/>
      <c r="P340" s="444"/>
      <c r="Q340" s="434">
        <v>60155098</v>
      </c>
      <c r="R340" s="41">
        <v>60060798</v>
      </c>
      <c r="S340" s="672"/>
      <c r="T340" s="41"/>
      <c r="U340" s="41">
        <v>0</v>
      </c>
      <c r="V340" s="41">
        <v>0</v>
      </c>
      <c r="W340" s="672">
        <v>94300</v>
      </c>
      <c r="X340" s="41"/>
      <c r="Y340" s="672"/>
      <c r="Z340" s="733"/>
      <c r="AA340" s="434">
        <f t="shared" si="44"/>
        <v>60060798</v>
      </c>
      <c r="AB340" s="42">
        <f t="shared" si="40"/>
        <v>1</v>
      </c>
      <c r="AC340" s="42">
        <f t="shared" si="41"/>
        <v>0</v>
      </c>
      <c r="AD340" s="42">
        <f t="shared" si="42"/>
        <v>1.906917128214675E-2</v>
      </c>
      <c r="AE340" s="42">
        <f t="shared" si="43"/>
        <v>0</v>
      </c>
      <c r="AF340" s="721">
        <f t="shared" si="45"/>
        <v>1.906917128214675E-2</v>
      </c>
    </row>
    <row r="341" spans="1:32">
      <c r="A341" s="643" t="s">
        <v>675</v>
      </c>
      <c r="B341" s="50" t="s">
        <v>676</v>
      </c>
      <c r="C341" s="50" t="s">
        <v>1395</v>
      </c>
      <c r="D341" s="51" t="s">
        <v>553</v>
      </c>
      <c r="E341" s="50" t="s">
        <v>621</v>
      </c>
      <c r="F341" s="50" t="s">
        <v>884</v>
      </c>
      <c r="G341" s="50" t="s">
        <v>622</v>
      </c>
      <c r="H341" s="40" t="s">
        <v>62</v>
      </c>
      <c r="I341" s="40" t="s">
        <v>46</v>
      </c>
      <c r="J341" s="41">
        <v>2496300332</v>
      </c>
      <c r="K341" s="52">
        <v>0.02</v>
      </c>
      <c r="L341" s="444"/>
      <c r="M341" s="444"/>
      <c r="N341" s="52">
        <v>2E-3</v>
      </c>
      <c r="O341" s="52"/>
      <c r="P341" s="444"/>
      <c r="Q341" s="434">
        <v>31275175</v>
      </c>
      <c r="R341" s="41">
        <v>31180875</v>
      </c>
      <c r="S341" s="672"/>
      <c r="T341" s="41"/>
      <c r="U341" s="41">
        <v>0</v>
      </c>
      <c r="V341" s="41">
        <v>0</v>
      </c>
      <c r="W341" s="672">
        <v>94300</v>
      </c>
      <c r="X341" s="41"/>
      <c r="Y341" s="672"/>
      <c r="Z341" s="733"/>
      <c r="AA341" s="434">
        <f t="shared" si="44"/>
        <v>31180875</v>
      </c>
      <c r="AB341" s="42">
        <f t="shared" si="40"/>
        <v>1</v>
      </c>
      <c r="AC341" s="42">
        <f t="shared" si="41"/>
        <v>0</v>
      </c>
      <c r="AD341" s="42">
        <f t="shared" si="42"/>
        <v>1.2490834776686638E-2</v>
      </c>
      <c r="AE341" s="42">
        <f t="shared" si="43"/>
        <v>0</v>
      </c>
      <c r="AF341" s="721">
        <f t="shared" si="45"/>
        <v>1.2490834776686638E-2</v>
      </c>
    </row>
    <row r="342" spans="1:32">
      <c r="A342" s="643" t="s">
        <v>677</v>
      </c>
      <c r="B342" s="50" t="s">
        <v>678</v>
      </c>
      <c r="C342" s="50" t="s">
        <v>1395</v>
      </c>
      <c r="D342" s="51" t="s">
        <v>553</v>
      </c>
      <c r="E342" s="50" t="s">
        <v>621</v>
      </c>
      <c r="F342" s="50" t="s">
        <v>884</v>
      </c>
      <c r="G342" s="50" t="s">
        <v>622</v>
      </c>
      <c r="H342" s="40" t="s">
        <v>62</v>
      </c>
      <c r="I342" s="40" t="s">
        <v>46</v>
      </c>
      <c r="J342" s="41">
        <v>3497818011</v>
      </c>
      <c r="K342" s="52">
        <v>2.5000000000000001E-2</v>
      </c>
      <c r="L342" s="444"/>
      <c r="M342" s="444"/>
      <c r="N342" s="52">
        <v>2E-3</v>
      </c>
      <c r="O342" s="52"/>
      <c r="P342" s="444"/>
      <c r="Q342" s="434">
        <v>35420603</v>
      </c>
      <c r="R342" s="41">
        <v>35326303</v>
      </c>
      <c r="S342" s="672"/>
      <c r="T342" s="41"/>
      <c r="U342" s="41">
        <v>0</v>
      </c>
      <c r="V342" s="41">
        <v>0</v>
      </c>
      <c r="W342" s="672">
        <v>94300</v>
      </c>
      <c r="X342" s="41"/>
      <c r="Y342" s="672"/>
      <c r="Z342" s="733"/>
      <c r="AA342" s="434">
        <f t="shared" si="44"/>
        <v>35326303</v>
      </c>
      <c r="AB342" s="42">
        <f t="shared" si="40"/>
        <v>1</v>
      </c>
      <c r="AC342" s="42">
        <f t="shared" si="41"/>
        <v>0</v>
      </c>
      <c r="AD342" s="42">
        <f t="shared" si="42"/>
        <v>1.0099525729727853E-2</v>
      </c>
      <c r="AE342" s="42">
        <f t="shared" si="43"/>
        <v>0</v>
      </c>
      <c r="AF342" s="721">
        <f t="shared" si="45"/>
        <v>1.0099525729727853E-2</v>
      </c>
    </row>
    <row r="343" spans="1:32">
      <c r="A343" s="643" t="s">
        <v>679</v>
      </c>
      <c r="B343" s="50" t="s">
        <v>680</v>
      </c>
      <c r="C343" s="50" t="s">
        <v>1395</v>
      </c>
      <c r="D343" s="51" t="s">
        <v>553</v>
      </c>
      <c r="E343" s="50" t="s">
        <v>621</v>
      </c>
      <c r="F343" s="50" t="s">
        <v>884</v>
      </c>
      <c r="G343" s="50" t="s">
        <v>622</v>
      </c>
      <c r="H343" s="40" t="s">
        <v>62</v>
      </c>
      <c r="I343" s="40" t="s">
        <v>46</v>
      </c>
      <c r="J343" s="41">
        <v>2465650374</v>
      </c>
      <c r="K343" s="52">
        <v>0.02</v>
      </c>
      <c r="L343" s="444"/>
      <c r="M343" s="444"/>
      <c r="N343" s="52">
        <v>2E-3</v>
      </c>
      <c r="O343" s="52"/>
      <c r="P343" s="444"/>
      <c r="Q343" s="434">
        <v>24421101</v>
      </c>
      <c r="R343" s="41">
        <v>24326801</v>
      </c>
      <c r="S343" s="672"/>
      <c r="T343" s="41"/>
      <c r="U343" s="41">
        <v>0</v>
      </c>
      <c r="V343" s="41">
        <v>0</v>
      </c>
      <c r="W343" s="672">
        <v>94300</v>
      </c>
      <c r="X343" s="41"/>
      <c r="Y343" s="672"/>
      <c r="Z343" s="733"/>
      <c r="AA343" s="434">
        <f t="shared" si="44"/>
        <v>24326801</v>
      </c>
      <c r="AB343" s="42">
        <f t="shared" si="40"/>
        <v>1</v>
      </c>
      <c r="AC343" s="42">
        <f t="shared" si="41"/>
        <v>0</v>
      </c>
      <c r="AD343" s="42">
        <f t="shared" si="42"/>
        <v>9.8662816336506278E-3</v>
      </c>
      <c r="AE343" s="42">
        <f t="shared" si="43"/>
        <v>0</v>
      </c>
      <c r="AF343" s="721">
        <f t="shared" si="45"/>
        <v>9.8662816336506278E-3</v>
      </c>
    </row>
    <row r="344" spans="1:32">
      <c r="A344" s="643" t="s">
        <v>681</v>
      </c>
      <c r="B344" s="50" t="s">
        <v>682</v>
      </c>
      <c r="C344" s="50" t="s">
        <v>1395</v>
      </c>
      <c r="D344" s="50" t="s">
        <v>43</v>
      </c>
      <c r="E344" s="50" t="s">
        <v>44</v>
      </c>
      <c r="F344" s="50" t="s">
        <v>1348</v>
      </c>
      <c r="G344" s="50" t="s">
        <v>641</v>
      </c>
      <c r="H344" s="40" t="s">
        <v>62</v>
      </c>
      <c r="I344" s="40" t="s">
        <v>239</v>
      </c>
      <c r="J344" s="41">
        <v>18942867.93</v>
      </c>
      <c r="K344" s="52">
        <v>0.01</v>
      </c>
      <c r="L344" s="444"/>
      <c r="M344" s="444"/>
      <c r="N344" s="52">
        <v>2E-3</v>
      </c>
      <c r="O344" s="52">
        <v>1.025E-2</v>
      </c>
      <c r="P344" s="444"/>
      <c r="Q344" s="434">
        <v>142014</v>
      </c>
      <c r="R344" s="41">
        <v>94714</v>
      </c>
      <c r="S344" s="672"/>
      <c r="T344" s="41">
        <v>18943</v>
      </c>
      <c r="U344" s="41">
        <v>18943</v>
      </c>
      <c r="V344" s="41">
        <v>8975</v>
      </c>
      <c r="W344" s="672">
        <v>439</v>
      </c>
      <c r="X344" s="41"/>
      <c r="Y344" s="672"/>
      <c r="Z344" s="733"/>
      <c r="AA344" s="434">
        <f t="shared" si="44"/>
        <v>141575</v>
      </c>
      <c r="AB344" s="42">
        <f t="shared" si="40"/>
        <v>0.66900229560303726</v>
      </c>
      <c r="AC344" s="42">
        <f t="shared" si="41"/>
        <v>0.13380187179939962</v>
      </c>
      <c r="AD344" s="42">
        <f t="shared" si="42"/>
        <v>4.9999820697688834E-3</v>
      </c>
      <c r="AE344" s="42">
        <f t="shared" si="43"/>
        <v>1.0000069720171459E-3</v>
      </c>
      <c r="AF344" s="721">
        <f t="shared" si="45"/>
        <v>7.4737891074976208E-3</v>
      </c>
    </row>
    <row r="345" spans="1:32">
      <c r="A345" s="105" t="s">
        <v>683</v>
      </c>
      <c r="B345" s="50" t="s">
        <v>684</v>
      </c>
      <c r="C345" s="50" t="s">
        <v>1395</v>
      </c>
      <c r="D345" s="50" t="s">
        <v>43</v>
      </c>
      <c r="E345" s="50" t="s">
        <v>44</v>
      </c>
      <c r="F345" s="50" t="s">
        <v>1348</v>
      </c>
      <c r="G345" s="50" t="s">
        <v>641</v>
      </c>
      <c r="H345" s="40" t="s">
        <v>45</v>
      </c>
      <c r="I345" s="40" t="s">
        <v>46</v>
      </c>
      <c r="J345" s="41">
        <v>1217386830</v>
      </c>
      <c r="K345" s="52">
        <v>5.0000000000000001E-3</v>
      </c>
      <c r="L345" s="444"/>
      <c r="M345" s="444"/>
      <c r="N345" s="52">
        <v>2E-3</v>
      </c>
      <c r="O345" s="52">
        <v>1.525E-2</v>
      </c>
      <c r="P345" s="444"/>
      <c r="Q345" s="434">
        <v>22038314</v>
      </c>
      <c r="R345" s="41">
        <v>3652160</v>
      </c>
      <c r="S345" s="672"/>
      <c r="T345" s="41">
        <v>14608642</v>
      </c>
      <c r="U345" s="41">
        <v>2434774</v>
      </c>
      <c r="V345" s="41">
        <v>1247183</v>
      </c>
      <c r="W345" s="672">
        <v>95555</v>
      </c>
      <c r="X345" s="41"/>
      <c r="Y345" s="672"/>
      <c r="Z345" s="733"/>
      <c r="AA345" s="434">
        <f t="shared" si="44"/>
        <v>21942759</v>
      </c>
      <c r="AB345" s="42">
        <f t="shared" si="40"/>
        <v>0.16644032776370557</v>
      </c>
      <c r="AC345" s="42">
        <f t="shared" si="41"/>
        <v>0.11096024889121738</v>
      </c>
      <c r="AD345" s="42">
        <f t="shared" si="42"/>
        <v>2.9999995974985209E-3</v>
      </c>
      <c r="AE345" s="42">
        <f t="shared" si="43"/>
        <v>2.0000002792867409E-3</v>
      </c>
      <c r="AF345" s="721">
        <f t="shared" si="45"/>
        <v>1.8024475424955926E-2</v>
      </c>
    </row>
    <row r="346" spans="1:32">
      <c r="A346" s="105" t="s">
        <v>685</v>
      </c>
      <c r="B346" s="50" t="s">
        <v>686</v>
      </c>
      <c r="C346" s="50" t="s">
        <v>1395</v>
      </c>
      <c r="D346" s="51" t="s">
        <v>553</v>
      </c>
      <c r="E346" s="50" t="s">
        <v>621</v>
      </c>
      <c r="F346" s="50" t="s">
        <v>884</v>
      </c>
      <c r="G346" s="50" t="s">
        <v>622</v>
      </c>
      <c r="H346" s="40" t="s">
        <v>62</v>
      </c>
      <c r="I346" s="40" t="s">
        <v>46</v>
      </c>
      <c r="J346" s="41">
        <v>2224657241</v>
      </c>
      <c r="K346" s="52">
        <v>0.02</v>
      </c>
      <c r="L346" s="444"/>
      <c r="M346" s="444"/>
      <c r="N346" s="52">
        <v>2E-3</v>
      </c>
      <c r="O346" s="52"/>
      <c r="P346" s="444"/>
      <c r="Q346" s="434">
        <v>24645231</v>
      </c>
      <c r="R346" s="41">
        <v>24554481</v>
      </c>
      <c r="S346" s="672"/>
      <c r="T346" s="41"/>
      <c r="U346" s="41">
        <v>0</v>
      </c>
      <c r="V346" s="41">
        <v>0</v>
      </c>
      <c r="W346" s="672">
        <v>90750</v>
      </c>
      <c r="X346" s="41"/>
      <c r="Y346" s="672"/>
      <c r="Z346" s="733"/>
      <c r="AA346" s="434">
        <f t="shared" si="44"/>
        <v>24554481</v>
      </c>
      <c r="AB346" s="42">
        <f t="shared" si="40"/>
        <v>1</v>
      </c>
      <c r="AC346" s="42">
        <f t="shared" si="41"/>
        <v>0</v>
      </c>
      <c r="AD346" s="42">
        <f t="shared" si="42"/>
        <v>1.1037422101466101E-2</v>
      </c>
      <c r="AE346" s="42">
        <f t="shared" si="43"/>
        <v>0</v>
      </c>
      <c r="AF346" s="721">
        <f t="shared" si="45"/>
        <v>1.1037422101466101E-2</v>
      </c>
    </row>
    <row r="347" spans="1:32">
      <c r="A347" s="103" t="s">
        <v>687</v>
      </c>
      <c r="B347" s="644" t="s">
        <v>688</v>
      </c>
      <c r="C347" s="644" t="s">
        <v>1395</v>
      </c>
      <c r="D347" s="50" t="s">
        <v>43</v>
      </c>
      <c r="E347" s="50" t="s">
        <v>44</v>
      </c>
      <c r="F347" s="50" t="s">
        <v>1348</v>
      </c>
      <c r="G347" s="50" t="s">
        <v>641</v>
      </c>
      <c r="H347" s="40" t="s">
        <v>45</v>
      </c>
      <c r="I347" s="40" t="s">
        <v>46</v>
      </c>
      <c r="J347" s="41">
        <v>739315263</v>
      </c>
      <c r="K347" s="444">
        <v>5.0000000000000001E-3</v>
      </c>
      <c r="L347" s="444"/>
      <c r="M347" s="444"/>
      <c r="N347" s="52">
        <v>2E-3</v>
      </c>
      <c r="O347" s="52">
        <v>1.525E-2</v>
      </c>
      <c r="P347" s="444"/>
      <c r="Q347" s="434">
        <v>2532016</v>
      </c>
      <c r="R347" s="41">
        <v>370670</v>
      </c>
      <c r="S347" s="672"/>
      <c r="T347" s="41">
        <v>1482682</v>
      </c>
      <c r="U347" s="41">
        <v>247114</v>
      </c>
      <c r="V347" s="41">
        <v>411000</v>
      </c>
      <c r="W347" s="672">
        <v>20550</v>
      </c>
      <c r="X347" s="41"/>
      <c r="Y347" s="672"/>
      <c r="Z347" s="733"/>
      <c r="AA347" s="434">
        <f t="shared" si="44"/>
        <v>2511466</v>
      </c>
      <c r="AB347" s="42">
        <f t="shared" si="40"/>
        <v>0.14759108823292849</v>
      </c>
      <c r="AC347" s="42">
        <f t="shared" si="41"/>
        <v>9.8394324271162736E-2</v>
      </c>
      <c r="AD347" s="42">
        <f t="shared" si="42"/>
        <v>5.0136933261176299E-4</v>
      </c>
      <c r="AE347" s="42">
        <f t="shared" si="43"/>
        <v>3.3424712347647012E-4</v>
      </c>
      <c r="AF347" s="721">
        <f t="shared" si="45"/>
        <v>3.3970163010147406E-3</v>
      </c>
    </row>
    <row r="348" spans="1:32" ht="127.5">
      <c r="A348" s="451" t="s">
        <v>689</v>
      </c>
      <c r="B348" s="51" t="s">
        <v>690</v>
      </c>
      <c r="C348" s="51" t="s">
        <v>1397</v>
      </c>
      <c r="D348" s="51" t="s">
        <v>43</v>
      </c>
      <c r="E348" s="51" t="s">
        <v>44</v>
      </c>
      <c r="F348" s="51" t="s">
        <v>132</v>
      </c>
      <c r="G348" s="51" t="s">
        <v>116</v>
      </c>
      <c r="H348" s="51" t="s">
        <v>45</v>
      </c>
      <c r="I348" s="51" t="s">
        <v>46</v>
      </c>
      <c r="J348" s="645">
        <v>32427066777.366936</v>
      </c>
      <c r="K348" s="444" t="s">
        <v>692</v>
      </c>
      <c r="L348" s="444"/>
      <c r="M348" s="444"/>
      <c r="N348" s="444" t="s">
        <v>693</v>
      </c>
      <c r="O348" s="444"/>
      <c r="P348" s="51"/>
      <c r="Q348" s="646">
        <v>2533638734</v>
      </c>
      <c r="R348" s="645">
        <v>650310168</v>
      </c>
      <c r="S348" s="675"/>
      <c r="T348" s="645"/>
      <c r="U348" s="645">
        <v>40644386</v>
      </c>
      <c r="V348" s="41">
        <v>406011800</v>
      </c>
      <c r="W348" s="672">
        <v>1370637</v>
      </c>
      <c r="X348" s="645"/>
      <c r="Y348" s="675">
        <v>1435301743</v>
      </c>
      <c r="Z348" s="732"/>
      <c r="AA348" s="646">
        <f t="shared" si="44"/>
        <v>1096966354</v>
      </c>
      <c r="AB348" s="444">
        <f t="shared" si="40"/>
        <v>0.59282599291099136</v>
      </c>
      <c r="AC348" s="444">
        <f t="shared" si="41"/>
        <v>3.7051625012739453E-2</v>
      </c>
      <c r="AD348" s="444">
        <f t="shared" si="42"/>
        <v>2.0054548025105246E-2</v>
      </c>
      <c r="AE348" s="444">
        <f t="shared" si="43"/>
        <v>1.2534092669882954E-3</v>
      </c>
      <c r="AF348" s="725">
        <f t="shared" si="45"/>
        <v>3.3828725907631203E-2</v>
      </c>
    </row>
    <row r="349" spans="1:32">
      <c r="A349" s="451" t="s">
        <v>694</v>
      </c>
      <c r="B349" s="51" t="s">
        <v>695</v>
      </c>
      <c r="C349" s="51" t="s">
        <v>1397</v>
      </c>
      <c r="D349" s="51" t="s">
        <v>553</v>
      </c>
      <c r="E349" s="51" t="s">
        <v>621</v>
      </c>
      <c r="F349" s="51" t="s">
        <v>1348</v>
      </c>
      <c r="G349" s="51" t="s">
        <v>884</v>
      </c>
      <c r="H349" s="51" t="s">
        <v>45</v>
      </c>
      <c r="I349" s="51" t="s">
        <v>46</v>
      </c>
      <c r="J349" s="645">
        <v>1907212235.174089</v>
      </c>
      <c r="K349" s="444" t="s">
        <v>696</v>
      </c>
      <c r="L349" s="444"/>
      <c r="M349" s="444"/>
      <c r="N349" s="444" t="s">
        <v>697</v>
      </c>
      <c r="O349" s="444"/>
      <c r="P349" s="51"/>
      <c r="Q349" s="646">
        <v>32772533</v>
      </c>
      <c r="R349" s="645">
        <v>32058320</v>
      </c>
      <c r="S349" s="675"/>
      <c r="T349" s="645"/>
      <c r="U349" s="645">
        <v>0</v>
      </c>
      <c r="V349" s="41">
        <v>639500</v>
      </c>
      <c r="W349" s="672">
        <v>74713</v>
      </c>
      <c r="X349" s="645"/>
      <c r="Y349" s="675"/>
      <c r="Z349" s="732"/>
      <c r="AA349" s="646">
        <f t="shared" si="44"/>
        <v>32697820</v>
      </c>
      <c r="AB349" s="444">
        <f t="shared" si="40"/>
        <v>0.98044212121786711</v>
      </c>
      <c r="AC349" s="444">
        <f t="shared" si="41"/>
        <v>0</v>
      </c>
      <c r="AD349" s="444">
        <f t="shared" si="42"/>
        <v>1.6808994515009359E-2</v>
      </c>
      <c r="AE349" s="444">
        <f t="shared" si="43"/>
        <v>0</v>
      </c>
      <c r="AF349" s="725">
        <f t="shared" si="45"/>
        <v>1.7144300669304047E-2</v>
      </c>
    </row>
    <row r="350" spans="1:32">
      <c r="A350" s="451" t="s">
        <v>698</v>
      </c>
      <c r="B350" s="51" t="s">
        <v>699</v>
      </c>
      <c r="C350" s="51" t="s">
        <v>1397</v>
      </c>
      <c r="D350" s="51" t="s">
        <v>553</v>
      </c>
      <c r="E350" s="51" t="s">
        <v>621</v>
      </c>
      <c r="F350" s="51" t="s">
        <v>1348</v>
      </c>
      <c r="G350" s="51" t="s">
        <v>884</v>
      </c>
      <c r="H350" s="51" t="s">
        <v>45</v>
      </c>
      <c r="I350" s="51" t="s">
        <v>46</v>
      </c>
      <c r="J350" s="645">
        <v>1450401514.2955465</v>
      </c>
      <c r="K350" s="444" t="s">
        <v>696</v>
      </c>
      <c r="L350" s="444"/>
      <c r="M350" s="444"/>
      <c r="N350" s="444" t="s">
        <v>697</v>
      </c>
      <c r="O350" s="444"/>
      <c r="P350" s="51"/>
      <c r="Q350" s="646">
        <v>20756919</v>
      </c>
      <c r="R350" s="645">
        <v>20156833</v>
      </c>
      <c r="S350" s="675"/>
      <c r="T350" s="645"/>
      <c r="U350" s="645">
        <v>0</v>
      </c>
      <c r="V350" s="41">
        <v>525500</v>
      </c>
      <c r="W350" s="672">
        <v>74586</v>
      </c>
      <c r="X350" s="645"/>
      <c r="Y350" s="675"/>
      <c r="Z350" s="732"/>
      <c r="AA350" s="646">
        <f t="shared" si="44"/>
        <v>20682333</v>
      </c>
      <c r="AB350" s="444">
        <f t="shared" si="40"/>
        <v>0.97459184125891407</v>
      </c>
      <c r="AC350" s="444">
        <f t="shared" si="41"/>
        <v>0</v>
      </c>
      <c r="AD350" s="444">
        <f t="shared" si="42"/>
        <v>1.3897415854388489E-2</v>
      </c>
      <c r="AE350" s="444">
        <f t="shared" si="43"/>
        <v>0</v>
      </c>
      <c r="AF350" s="725">
        <f t="shared" si="45"/>
        <v>1.425972932057046E-2</v>
      </c>
    </row>
    <row r="351" spans="1:32">
      <c r="A351" s="451" t="s">
        <v>700</v>
      </c>
      <c r="B351" s="51" t="s">
        <v>701</v>
      </c>
      <c r="C351" s="51" t="s">
        <v>1397</v>
      </c>
      <c r="D351" s="51" t="s">
        <v>553</v>
      </c>
      <c r="E351" s="51" t="s">
        <v>621</v>
      </c>
      <c r="F351" s="51" t="s">
        <v>1348</v>
      </c>
      <c r="G351" s="51" t="s">
        <v>884</v>
      </c>
      <c r="H351" s="51" t="s">
        <v>45</v>
      </c>
      <c r="I351" s="51" t="s">
        <v>46</v>
      </c>
      <c r="J351" s="645">
        <v>1521006351.562753</v>
      </c>
      <c r="K351" s="444" t="s">
        <v>696</v>
      </c>
      <c r="L351" s="444"/>
      <c r="M351" s="444"/>
      <c r="N351" s="444" t="s">
        <v>697</v>
      </c>
      <c r="O351" s="444"/>
      <c r="P351" s="51"/>
      <c r="Q351" s="646">
        <v>25659055</v>
      </c>
      <c r="R351" s="645">
        <v>24980145</v>
      </c>
      <c r="S351" s="675"/>
      <c r="T351" s="645"/>
      <c r="U351" s="645">
        <v>0</v>
      </c>
      <c r="V351" s="41">
        <v>604000</v>
      </c>
      <c r="W351" s="672">
        <v>74910</v>
      </c>
      <c r="X351" s="645"/>
      <c r="Y351" s="675"/>
      <c r="Z351" s="732"/>
      <c r="AA351" s="646">
        <f t="shared" si="44"/>
        <v>25584145</v>
      </c>
      <c r="AB351" s="444">
        <f t="shared" si="40"/>
        <v>0.97639162848709615</v>
      </c>
      <c r="AC351" s="444">
        <f t="shared" si="41"/>
        <v>0</v>
      </c>
      <c r="AD351" s="444">
        <f t="shared" si="42"/>
        <v>1.642343240337835E-2</v>
      </c>
      <c r="AE351" s="444">
        <f t="shared" si="43"/>
        <v>0</v>
      </c>
      <c r="AF351" s="725">
        <f t="shared" si="45"/>
        <v>1.6820537911438473E-2</v>
      </c>
    </row>
    <row r="352" spans="1:32">
      <c r="A352" s="103" t="s">
        <v>704</v>
      </c>
      <c r="B352" s="40" t="s">
        <v>705</v>
      </c>
      <c r="C352" s="40" t="s">
        <v>1396</v>
      </c>
      <c r="D352" s="40" t="s">
        <v>43</v>
      </c>
      <c r="E352" s="40" t="s">
        <v>44</v>
      </c>
      <c r="F352" s="40" t="s">
        <v>1349</v>
      </c>
      <c r="G352" s="40" t="s">
        <v>58</v>
      </c>
      <c r="H352" s="40" t="s">
        <v>45</v>
      </c>
      <c r="I352" s="40" t="s">
        <v>46</v>
      </c>
      <c r="J352" s="449">
        <v>2543841648.7004046</v>
      </c>
      <c r="K352" s="604" t="s">
        <v>707</v>
      </c>
      <c r="L352" s="604"/>
      <c r="M352" s="604"/>
      <c r="N352" s="604" t="s">
        <v>708</v>
      </c>
      <c r="O352" s="647"/>
      <c r="P352" s="604"/>
      <c r="Q352" s="434">
        <v>14567935</v>
      </c>
      <c r="R352" s="449">
        <v>12701288</v>
      </c>
      <c r="S352" s="672"/>
      <c r="T352" s="41"/>
      <c r="U352" s="449">
        <v>590137</v>
      </c>
      <c r="V352" s="41">
        <v>970288</v>
      </c>
      <c r="W352" s="672">
        <v>306222</v>
      </c>
      <c r="X352" s="41"/>
      <c r="Y352" s="672"/>
      <c r="Z352" s="456"/>
      <c r="AA352" s="434">
        <f t="shared" si="44"/>
        <v>14261713</v>
      </c>
      <c r="AB352" s="456">
        <f t="shared" si="40"/>
        <v>0.89058642534736188</v>
      </c>
      <c r="AC352" s="456">
        <f t="shared" si="41"/>
        <v>4.1379110629978323E-2</v>
      </c>
      <c r="AD352" s="456">
        <f t="shared" si="42"/>
        <v>4.992955440637911E-3</v>
      </c>
      <c r="AE352" s="456">
        <f t="shared" si="43"/>
        <v>2.3198653119838988E-4</v>
      </c>
      <c r="AF352" s="720">
        <f t="shared" si="45"/>
        <v>5.6063682294399146E-3</v>
      </c>
    </row>
    <row r="353" spans="1:32">
      <c r="A353" s="103" t="s">
        <v>709</v>
      </c>
      <c r="B353" s="40" t="s">
        <v>710</v>
      </c>
      <c r="C353" s="40" t="s">
        <v>1396</v>
      </c>
      <c r="D353" s="40" t="s">
        <v>43</v>
      </c>
      <c r="E353" s="40" t="s">
        <v>44</v>
      </c>
      <c r="F353" s="40" t="s">
        <v>1348</v>
      </c>
      <c r="G353" s="40" t="s">
        <v>365</v>
      </c>
      <c r="H353" s="40" t="s">
        <v>1354</v>
      </c>
      <c r="I353" s="40" t="s">
        <v>69</v>
      </c>
      <c r="J353" s="449">
        <v>1360612.1814516129</v>
      </c>
      <c r="K353" s="604" t="s">
        <v>711</v>
      </c>
      <c r="L353" s="604"/>
      <c r="M353" s="604"/>
      <c r="N353" s="604" t="s">
        <v>708</v>
      </c>
      <c r="O353" s="647"/>
      <c r="P353" s="604"/>
      <c r="Q353" s="434">
        <v>7018.2039675322485</v>
      </c>
      <c r="R353" s="449">
        <v>6496</v>
      </c>
      <c r="S353" s="672"/>
      <c r="T353" s="41"/>
      <c r="U353" s="449">
        <v>62</v>
      </c>
      <c r="V353" s="41">
        <v>339</v>
      </c>
      <c r="W353" s="672">
        <v>121.20396753224881</v>
      </c>
      <c r="X353" s="41"/>
      <c r="Y353" s="672"/>
      <c r="Z353" s="456"/>
      <c r="AA353" s="434">
        <f t="shared" si="44"/>
        <v>6897</v>
      </c>
      <c r="AB353" s="456">
        <f t="shared" si="40"/>
        <v>0.94185877917935334</v>
      </c>
      <c r="AC353" s="456">
        <f t="shared" si="41"/>
        <v>8.989415687980281E-3</v>
      </c>
      <c r="AD353" s="456">
        <f t="shared" si="42"/>
        <v>4.7743215065659149E-3</v>
      </c>
      <c r="AE353" s="456">
        <f t="shared" si="43"/>
        <v>4.5567723738775662E-5</v>
      </c>
      <c r="AF353" s="720">
        <f t="shared" si="45"/>
        <v>5.0690417842957376E-3</v>
      </c>
    </row>
    <row r="354" spans="1:32">
      <c r="A354" s="103" t="s">
        <v>712</v>
      </c>
      <c r="B354" s="40" t="s">
        <v>713</v>
      </c>
      <c r="C354" s="40" t="s">
        <v>1396</v>
      </c>
      <c r="D354" s="40" t="s">
        <v>43</v>
      </c>
      <c r="E354" s="40" t="s">
        <v>44</v>
      </c>
      <c r="F354" s="40" t="s">
        <v>1348</v>
      </c>
      <c r="G354" s="40" t="s">
        <v>365</v>
      </c>
      <c r="H354" s="40" t="s">
        <v>1354</v>
      </c>
      <c r="I354" s="40" t="s">
        <v>714</v>
      </c>
      <c r="J354" s="449">
        <v>14225904.427419355</v>
      </c>
      <c r="K354" s="604" t="s">
        <v>711</v>
      </c>
      <c r="L354" s="604"/>
      <c r="M354" s="604"/>
      <c r="N354" s="604" t="s">
        <v>708</v>
      </c>
      <c r="O354" s="647"/>
      <c r="P354" s="604"/>
      <c r="Q354" s="434">
        <v>141960.41387260391</v>
      </c>
      <c r="R354" s="449">
        <v>133349</v>
      </c>
      <c r="S354" s="672"/>
      <c r="T354" s="41"/>
      <c r="U354" s="449">
        <v>942</v>
      </c>
      <c r="V354" s="41">
        <v>6864</v>
      </c>
      <c r="W354" s="672">
        <v>805.41387260391275</v>
      </c>
      <c r="X354" s="41"/>
      <c r="Y354" s="672"/>
      <c r="Z354" s="456"/>
      <c r="AA354" s="434">
        <f t="shared" si="44"/>
        <v>141155</v>
      </c>
      <c r="AB354" s="456">
        <f t="shared" si="40"/>
        <v>0.94469908965321814</v>
      </c>
      <c r="AC354" s="456">
        <f t="shared" si="41"/>
        <v>6.6735149303956643E-3</v>
      </c>
      <c r="AD354" s="456">
        <f t="shared" si="42"/>
        <v>9.3736746707632785E-3</v>
      </c>
      <c r="AE354" s="456">
        <f t="shared" si="43"/>
        <v>6.6217231024297206E-5</v>
      </c>
      <c r="AF354" s="720">
        <f t="shared" si="45"/>
        <v>9.9223919800792704E-3</v>
      </c>
    </row>
    <row r="355" spans="1:32">
      <c r="A355" s="103" t="s">
        <v>715</v>
      </c>
      <c r="B355" s="40" t="s">
        <v>716</v>
      </c>
      <c r="C355" s="40" t="s">
        <v>1396</v>
      </c>
      <c r="D355" s="40" t="s">
        <v>43</v>
      </c>
      <c r="E355" s="40" t="s">
        <v>44</v>
      </c>
      <c r="F355" s="40" t="s">
        <v>884</v>
      </c>
      <c r="G355" s="40" t="s">
        <v>97</v>
      </c>
      <c r="H355" s="40" t="s">
        <v>1358</v>
      </c>
      <c r="I355" s="40" t="s">
        <v>46</v>
      </c>
      <c r="J355" s="449">
        <v>5830424250.9271259</v>
      </c>
      <c r="K355" s="604" t="s">
        <v>717</v>
      </c>
      <c r="L355" s="604">
        <v>0.2</v>
      </c>
      <c r="M355" s="604" t="s">
        <v>108</v>
      </c>
      <c r="N355" s="604" t="s">
        <v>708</v>
      </c>
      <c r="O355" s="647"/>
      <c r="P355" s="604"/>
      <c r="Q355" s="434">
        <v>275620904.49021405</v>
      </c>
      <c r="R355" s="449">
        <v>106526984.73723784</v>
      </c>
      <c r="S355" s="672">
        <v>155001084.32347354</v>
      </c>
      <c r="T355" s="41"/>
      <c r="U355" s="449">
        <v>1631021.7016181124</v>
      </c>
      <c r="V355" s="41">
        <v>1855982.3887973421</v>
      </c>
      <c r="W355" s="672">
        <v>10605831.339087209</v>
      </c>
      <c r="X355" s="41"/>
      <c r="Y355" s="672"/>
      <c r="Z355" s="456"/>
      <c r="AA355" s="434">
        <f t="shared" si="44"/>
        <v>110013988.82765329</v>
      </c>
      <c r="AB355" s="456">
        <f t="shared" si="40"/>
        <v>0.96830399363231756</v>
      </c>
      <c r="AC355" s="456">
        <f t="shared" si="41"/>
        <v>1.4825584627908121E-2</v>
      </c>
      <c r="AD355" s="456">
        <f t="shared" si="42"/>
        <v>1.8270880497298018E-2</v>
      </c>
      <c r="AE355" s="456">
        <f t="shared" si="43"/>
        <v>2.7974322818082324E-4</v>
      </c>
      <c r="AF355" s="720">
        <f t="shared" si="45"/>
        <v>1.8868950884690663E-2</v>
      </c>
    </row>
    <row r="356" spans="1:32">
      <c r="A356" s="103" t="s">
        <v>718</v>
      </c>
      <c r="B356" s="40" t="s">
        <v>719</v>
      </c>
      <c r="C356" s="40" t="s">
        <v>1396</v>
      </c>
      <c r="D356" s="40" t="s">
        <v>43</v>
      </c>
      <c r="E356" s="40" t="s">
        <v>44</v>
      </c>
      <c r="F356" s="40" t="s">
        <v>884</v>
      </c>
      <c r="G356" s="40" t="s">
        <v>97</v>
      </c>
      <c r="H356" s="40" t="s">
        <v>1358</v>
      </c>
      <c r="I356" s="40" t="s">
        <v>46</v>
      </c>
      <c r="J356" s="449">
        <v>1673528619.1781375</v>
      </c>
      <c r="K356" s="604" t="s">
        <v>711</v>
      </c>
      <c r="L356" s="604">
        <v>0.2</v>
      </c>
      <c r="M356" s="604" t="s">
        <v>108</v>
      </c>
      <c r="N356" s="604" t="s">
        <v>708</v>
      </c>
      <c r="O356" s="647"/>
      <c r="P356" s="604"/>
      <c r="Q356" s="434">
        <v>65737021.539785996</v>
      </c>
      <c r="R356" s="449">
        <v>17201357.262762181</v>
      </c>
      <c r="S356" s="672">
        <v>44490544.676526479</v>
      </c>
      <c r="T356" s="41"/>
      <c r="U356" s="449">
        <v>468158.29838188778</v>
      </c>
      <c r="V356" s="41">
        <v>532729.61120265815</v>
      </c>
      <c r="W356" s="672">
        <v>3044231.6909127925</v>
      </c>
      <c r="X356" s="41"/>
      <c r="Y356" s="672"/>
      <c r="Z356" s="456"/>
      <c r="AA356" s="434">
        <f t="shared" si="44"/>
        <v>18202245.172346726</v>
      </c>
      <c r="AB356" s="456">
        <f t="shared" si="40"/>
        <v>0.94501294207897402</v>
      </c>
      <c r="AC356" s="456">
        <f t="shared" si="41"/>
        <v>2.5719810602986753E-2</v>
      </c>
      <c r="AD356" s="456">
        <f t="shared" si="42"/>
        <v>1.0278496026682645E-2</v>
      </c>
      <c r="AE356" s="456">
        <f t="shared" si="43"/>
        <v>2.7974322818082324E-4</v>
      </c>
      <c r="AF356" s="720">
        <f t="shared" si="45"/>
        <v>1.0876566414075289E-2</v>
      </c>
    </row>
    <row r="357" spans="1:32">
      <c r="A357" s="103" t="s">
        <v>720</v>
      </c>
      <c r="B357" s="40" t="s">
        <v>721</v>
      </c>
      <c r="C357" s="40" t="s">
        <v>1396</v>
      </c>
      <c r="D357" s="40" t="s">
        <v>43</v>
      </c>
      <c r="E357" s="40" t="s">
        <v>44</v>
      </c>
      <c r="F357" s="40" t="s">
        <v>1348</v>
      </c>
      <c r="G357" s="40" t="s">
        <v>58</v>
      </c>
      <c r="H357" s="40" t="s">
        <v>1352</v>
      </c>
      <c r="I357" s="40" t="s">
        <v>46</v>
      </c>
      <c r="J357" s="449">
        <v>342020910.86639678</v>
      </c>
      <c r="K357" s="604" t="s">
        <v>717</v>
      </c>
      <c r="L357" s="604">
        <v>0.2</v>
      </c>
      <c r="M357" s="604" t="s">
        <v>108</v>
      </c>
      <c r="N357" s="604" t="s">
        <v>722</v>
      </c>
      <c r="O357" s="647"/>
      <c r="P357" s="604"/>
      <c r="Q357" s="434">
        <v>10347928.86849205</v>
      </c>
      <c r="R357" s="449">
        <v>5203353.6649820572</v>
      </c>
      <c r="S357" s="672">
        <v>3806551.351383585</v>
      </c>
      <c r="T357" s="41"/>
      <c r="U357" s="449">
        <v>375387.44250390999</v>
      </c>
      <c r="V357" s="41">
        <v>141142.63868372561</v>
      </c>
      <c r="W357" s="672">
        <v>821493.77093877271</v>
      </c>
      <c r="X357" s="41"/>
      <c r="Y357" s="672"/>
      <c r="Z357" s="456"/>
      <c r="AA357" s="434">
        <f t="shared" si="44"/>
        <v>5719883.7461696919</v>
      </c>
      <c r="AB357" s="456">
        <f t="shared" si="40"/>
        <v>0.9096957029006878</v>
      </c>
      <c r="AC357" s="456">
        <f t="shared" si="41"/>
        <v>6.5628509103054303E-2</v>
      </c>
      <c r="AD357" s="456">
        <f t="shared" si="42"/>
        <v>1.5213554199949596E-2</v>
      </c>
      <c r="AE357" s="456">
        <f t="shared" si="43"/>
        <v>1.0975569930884931E-3</v>
      </c>
      <c r="AF357" s="720">
        <f t="shared" si="45"/>
        <v>1.6723783734977665E-2</v>
      </c>
    </row>
    <row r="358" spans="1:32">
      <c r="A358" s="103" t="s">
        <v>723</v>
      </c>
      <c r="B358" s="40" t="s">
        <v>724</v>
      </c>
      <c r="C358" s="40" t="s">
        <v>1396</v>
      </c>
      <c r="D358" s="40" t="s">
        <v>43</v>
      </c>
      <c r="E358" s="40" t="s">
        <v>44</v>
      </c>
      <c r="F358" s="40" t="s">
        <v>1348</v>
      </c>
      <c r="G358" s="40" t="s">
        <v>58</v>
      </c>
      <c r="H358" s="40" t="s">
        <v>1352</v>
      </c>
      <c r="I358" s="40" t="s">
        <v>69</v>
      </c>
      <c r="J358" s="449">
        <v>149601.6789068825</v>
      </c>
      <c r="K358" s="604" t="s">
        <v>717</v>
      </c>
      <c r="L358" s="604">
        <v>0.2</v>
      </c>
      <c r="M358" s="604" t="s">
        <v>108</v>
      </c>
      <c r="N358" s="604" t="s">
        <v>722</v>
      </c>
      <c r="O358" s="647"/>
      <c r="P358" s="604"/>
      <c r="Q358" s="434">
        <v>4513.4072439140482</v>
      </c>
      <c r="R358" s="449">
        <v>2263.0849052255612</v>
      </c>
      <c r="S358" s="672">
        <v>1665.0485609655427</v>
      </c>
      <c r="T358" s="41"/>
      <c r="U358" s="449">
        <v>164.20068015593301</v>
      </c>
      <c r="V358" s="41">
        <v>61.738126124529209</v>
      </c>
      <c r="W358" s="672">
        <v>359.33497144248173</v>
      </c>
      <c r="X358" s="41"/>
      <c r="Y358" s="672"/>
      <c r="Z358" s="456"/>
      <c r="AA358" s="434">
        <f t="shared" si="44"/>
        <v>2489.0237115060236</v>
      </c>
      <c r="AB358" s="456">
        <f t="shared" si="40"/>
        <v>0.9092259325469606</v>
      </c>
      <c r="AC358" s="456">
        <f t="shared" si="41"/>
        <v>6.5969913985504294E-2</v>
      </c>
      <c r="AD358" s="456">
        <f t="shared" si="42"/>
        <v>1.5127403126499584E-2</v>
      </c>
      <c r="AE358" s="456">
        <f t="shared" si="43"/>
        <v>1.0975858115745978E-3</v>
      </c>
      <c r="AF358" s="720">
        <f t="shared" si="45"/>
        <v>1.6637672315531177E-2</v>
      </c>
    </row>
    <row r="359" spans="1:32">
      <c r="A359" s="103" t="s">
        <v>725</v>
      </c>
      <c r="B359" s="40" t="s">
        <v>726</v>
      </c>
      <c r="C359" s="40" t="s">
        <v>1396</v>
      </c>
      <c r="D359" s="40" t="s">
        <v>43</v>
      </c>
      <c r="E359" s="40" t="s">
        <v>44</v>
      </c>
      <c r="F359" s="40" t="s">
        <v>884</v>
      </c>
      <c r="G359" s="40" t="s">
        <v>622</v>
      </c>
      <c r="H359" s="40" t="s">
        <v>1358</v>
      </c>
      <c r="I359" s="40" t="s">
        <v>46</v>
      </c>
      <c r="J359" s="449">
        <v>2080016910.2429149</v>
      </c>
      <c r="K359" s="604" t="s">
        <v>727</v>
      </c>
      <c r="L359" s="604"/>
      <c r="M359" s="604"/>
      <c r="N359" s="604" t="s">
        <v>708</v>
      </c>
      <c r="O359" s="647" t="s">
        <v>728</v>
      </c>
      <c r="P359" s="604"/>
      <c r="Q359" s="434">
        <v>43035297.039999999</v>
      </c>
      <c r="R359" s="449">
        <v>41606570</v>
      </c>
      <c r="S359" s="672"/>
      <c r="T359" s="41"/>
      <c r="U359" s="449">
        <v>481584</v>
      </c>
      <c r="V359" s="41">
        <v>807430</v>
      </c>
      <c r="W359" s="672">
        <v>139713.04</v>
      </c>
      <c r="X359" s="41"/>
      <c r="Y359" s="672"/>
      <c r="Z359" s="456"/>
      <c r="AA359" s="434">
        <f t="shared" si="44"/>
        <v>42895584</v>
      </c>
      <c r="AB359" s="456">
        <f t="shared" si="40"/>
        <v>0.96994996035023096</v>
      </c>
      <c r="AC359" s="456">
        <f t="shared" si="41"/>
        <v>1.1226889928809455E-2</v>
      </c>
      <c r="AD359" s="456">
        <f t="shared" si="42"/>
        <v>2.000299603099908E-2</v>
      </c>
      <c r="AE359" s="456">
        <f t="shared" si="43"/>
        <v>2.3152888691840403E-4</v>
      </c>
      <c r="AF359" s="720">
        <f t="shared" si="45"/>
        <v>2.0622709262008085E-2</v>
      </c>
    </row>
    <row r="360" spans="1:32">
      <c r="A360" s="103" t="s">
        <v>729</v>
      </c>
      <c r="B360" s="40" t="s">
        <v>730</v>
      </c>
      <c r="C360" s="40" t="s">
        <v>1396</v>
      </c>
      <c r="D360" s="40" t="s">
        <v>43</v>
      </c>
      <c r="E360" s="40" t="s">
        <v>44</v>
      </c>
      <c r="F360" s="40" t="s">
        <v>884</v>
      </c>
      <c r="G360" s="40" t="s">
        <v>622</v>
      </c>
      <c r="H360" s="40" t="s">
        <v>1358</v>
      </c>
      <c r="I360" s="40" t="s">
        <v>46</v>
      </c>
      <c r="J360" s="449">
        <v>2661199336.2105265</v>
      </c>
      <c r="K360" s="604" t="s">
        <v>727</v>
      </c>
      <c r="L360" s="604"/>
      <c r="M360" s="604"/>
      <c r="N360" s="604" t="s">
        <v>708</v>
      </c>
      <c r="O360" s="647" t="s">
        <v>728</v>
      </c>
      <c r="P360" s="604"/>
      <c r="Q360" s="434">
        <v>54757810</v>
      </c>
      <c r="R360" s="449">
        <v>53083627</v>
      </c>
      <c r="S360" s="672"/>
      <c r="T360" s="41"/>
      <c r="U360" s="449">
        <v>615415</v>
      </c>
      <c r="V360" s="41">
        <v>985917</v>
      </c>
      <c r="W360" s="672">
        <v>72851</v>
      </c>
      <c r="X360" s="41"/>
      <c r="Y360" s="672"/>
      <c r="Z360" s="456"/>
      <c r="AA360" s="434">
        <f t="shared" si="44"/>
        <v>54684959</v>
      </c>
      <c r="AB360" s="456">
        <f t="shared" si="40"/>
        <v>0.97071713997262021</v>
      </c>
      <c r="AC360" s="456">
        <f t="shared" si="41"/>
        <v>1.1253825754902733E-2</v>
      </c>
      <c r="AD360" s="456">
        <f t="shared" si="42"/>
        <v>1.9947256967074705E-2</v>
      </c>
      <c r="AE360" s="456">
        <f t="shared" si="43"/>
        <v>2.3125475481154063E-4</v>
      </c>
      <c r="AF360" s="720">
        <f t="shared" si="45"/>
        <v>2.0548990169924609E-2</v>
      </c>
    </row>
    <row r="361" spans="1:32">
      <c r="A361" s="648" t="s">
        <v>731</v>
      </c>
      <c r="B361" s="514" t="s">
        <v>732</v>
      </c>
      <c r="C361" s="514" t="s">
        <v>1396</v>
      </c>
      <c r="D361" s="622" t="s">
        <v>43</v>
      </c>
      <c r="E361" s="622" t="s">
        <v>621</v>
      </c>
      <c r="F361" s="622" t="s">
        <v>884</v>
      </c>
      <c r="G361" s="622" t="s">
        <v>622</v>
      </c>
      <c r="H361" s="622" t="s">
        <v>1358</v>
      </c>
      <c r="I361" s="622" t="s">
        <v>46</v>
      </c>
      <c r="J361" s="515">
        <v>3608657914.4048581</v>
      </c>
      <c r="K361" s="649" t="s">
        <v>727</v>
      </c>
      <c r="L361" s="649"/>
      <c r="M361" s="649"/>
      <c r="N361" s="649" t="s">
        <v>708</v>
      </c>
      <c r="O361" s="650" t="s">
        <v>728</v>
      </c>
      <c r="P361" s="649"/>
      <c r="Q361" s="921">
        <v>67199415</v>
      </c>
      <c r="R361" s="922">
        <v>65067967</v>
      </c>
      <c r="S361" s="919"/>
      <c r="T361" s="922"/>
      <c r="U361" s="922">
        <v>833980</v>
      </c>
      <c r="V361" s="922">
        <v>1222917</v>
      </c>
      <c r="W361" s="919">
        <v>74551</v>
      </c>
      <c r="X361" s="922"/>
      <c r="Y361" s="919"/>
      <c r="Z361" s="815"/>
      <c r="AA361" s="921">
        <f>+R361+T362+U361+V361+X362</f>
        <v>67124864</v>
      </c>
      <c r="AB361" s="815">
        <f t="shared" si="40"/>
        <v>0.9693571520681219</v>
      </c>
      <c r="AC361" s="815">
        <f t="shared" si="41"/>
        <v>1.2424308226531379E-2</v>
      </c>
      <c r="AD361" s="815">
        <f t="shared" si="42"/>
        <v>1.8031070980783461E-2</v>
      </c>
      <c r="AE361" s="815">
        <f t="shared" si="43"/>
        <v>2.311053083394136E-4</v>
      </c>
      <c r="AF361" s="825">
        <f>+(AA361/J362)+Z362</f>
        <v>1.8601060447446228E-2</v>
      </c>
    </row>
    <row r="362" spans="1:32">
      <c r="A362" s="513" t="s">
        <v>733</v>
      </c>
      <c r="B362" s="514" t="s">
        <v>732</v>
      </c>
      <c r="C362" s="514" t="s">
        <v>1396</v>
      </c>
      <c r="D362" s="514" t="s">
        <v>43</v>
      </c>
      <c r="E362" s="514" t="s">
        <v>44</v>
      </c>
      <c r="F362" s="514" t="s">
        <v>1348</v>
      </c>
      <c r="G362" s="514" t="s">
        <v>641</v>
      </c>
      <c r="H362" s="514" t="s">
        <v>45</v>
      </c>
      <c r="I362" s="514" t="s">
        <v>46</v>
      </c>
      <c r="J362" s="515">
        <v>3608657914.4048581</v>
      </c>
      <c r="K362" s="649" t="s">
        <v>734</v>
      </c>
      <c r="L362" s="649"/>
      <c r="M362" s="649"/>
      <c r="N362" s="649" t="s">
        <v>708</v>
      </c>
      <c r="O362" s="650" t="s">
        <v>728</v>
      </c>
      <c r="P362" s="649"/>
      <c r="Q362" s="916"/>
      <c r="R362" s="916"/>
      <c r="S362" s="916"/>
      <c r="T362" s="916"/>
      <c r="U362" s="916"/>
      <c r="V362" s="916"/>
      <c r="W362" s="916"/>
      <c r="X362" s="916"/>
      <c r="Y362" s="916"/>
      <c r="Z362" s="923"/>
      <c r="AA362" s="836"/>
      <c r="AB362" s="816" t="e">
        <f t="shared" si="40"/>
        <v>#DIV/0!</v>
      </c>
      <c r="AC362" s="816" t="e">
        <f t="shared" si="41"/>
        <v>#DIV/0!</v>
      </c>
      <c r="AD362" s="816">
        <f t="shared" si="42"/>
        <v>0</v>
      </c>
      <c r="AE362" s="816">
        <f t="shared" si="43"/>
        <v>0</v>
      </c>
      <c r="AF362" s="826"/>
    </row>
    <row r="363" spans="1:32">
      <c r="A363" s="651" t="s">
        <v>735</v>
      </c>
      <c r="B363" s="631" t="s">
        <v>736</v>
      </c>
      <c r="C363" s="631" t="s">
        <v>1396</v>
      </c>
      <c r="D363" s="629" t="s">
        <v>43</v>
      </c>
      <c r="E363" s="629" t="s">
        <v>621</v>
      </c>
      <c r="F363" s="629" t="s">
        <v>884</v>
      </c>
      <c r="G363" s="629" t="s">
        <v>622</v>
      </c>
      <c r="H363" s="629" t="s">
        <v>1358</v>
      </c>
      <c r="I363" s="629" t="s">
        <v>46</v>
      </c>
      <c r="J363" s="630">
        <v>1607939048.3603239</v>
      </c>
      <c r="K363" s="652" t="s">
        <v>727</v>
      </c>
      <c r="L363" s="652"/>
      <c r="M363" s="652"/>
      <c r="N363" s="652" t="s">
        <v>708</v>
      </c>
      <c r="O363" s="653" t="s">
        <v>728</v>
      </c>
      <c r="P363" s="652"/>
      <c r="Q363" s="921">
        <v>32803741</v>
      </c>
      <c r="R363" s="936">
        <v>31738938</v>
      </c>
      <c r="S363" s="919"/>
      <c r="T363" s="936"/>
      <c r="U363" s="936">
        <v>365506</v>
      </c>
      <c r="V363" s="936">
        <v>625679</v>
      </c>
      <c r="W363" s="919">
        <v>0</v>
      </c>
      <c r="X363" s="936"/>
      <c r="Y363" s="919"/>
      <c r="Z363" s="818"/>
      <c r="AA363" s="921">
        <f>+R363+T364+U363+V363+X364</f>
        <v>32730123</v>
      </c>
      <c r="AB363" s="818">
        <f t="shared" si="40"/>
        <v>0.96971642911332778</v>
      </c>
      <c r="AC363" s="818">
        <f t="shared" si="41"/>
        <v>1.1167266313053575E-2</v>
      </c>
      <c r="AD363" s="818">
        <f t="shared" si="42"/>
        <v>1.9738893730061095E-2</v>
      </c>
      <c r="AE363" s="818">
        <f t="shared" si="43"/>
        <v>2.2731334273691546E-4</v>
      </c>
      <c r="AF363" s="825">
        <f>+(AA363/J364)+Z364</f>
        <v>2.0355325678156858E-2</v>
      </c>
    </row>
    <row r="364" spans="1:32" ht="12.75" customHeight="1">
      <c r="A364" s="654" t="s">
        <v>737</v>
      </c>
      <c r="B364" s="631" t="s">
        <v>736</v>
      </c>
      <c r="C364" s="631" t="s">
        <v>1396</v>
      </c>
      <c r="D364" s="631" t="s">
        <v>43</v>
      </c>
      <c r="E364" s="631" t="s">
        <v>44</v>
      </c>
      <c r="F364" s="631" t="s">
        <v>1348</v>
      </c>
      <c r="G364" s="631" t="s">
        <v>641</v>
      </c>
      <c r="H364" s="631" t="s">
        <v>45</v>
      </c>
      <c r="I364" s="631" t="s">
        <v>46</v>
      </c>
      <c r="J364" s="630">
        <v>1607939048.3603239</v>
      </c>
      <c r="K364" s="652" t="s">
        <v>734</v>
      </c>
      <c r="L364" s="652"/>
      <c r="M364" s="652"/>
      <c r="N364" s="652" t="s">
        <v>708</v>
      </c>
      <c r="O364" s="653" t="s">
        <v>728</v>
      </c>
      <c r="P364" s="652"/>
      <c r="Q364" s="916"/>
      <c r="R364" s="916"/>
      <c r="S364" s="916"/>
      <c r="T364" s="916"/>
      <c r="U364" s="916"/>
      <c r="V364" s="916"/>
      <c r="W364" s="916"/>
      <c r="X364" s="916"/>
      <c r="Y364" s="916"/>
      <c r="Z364" s="923"/>
      <c r="AA364" s="836"/>
      <c r="AB364" s="816" t="e">
        <f t="shared" si="40"/>
        <v>#DIV/0!</v>
      </c>
      <c r="AC364" s="816" t="e">
        <f t="shared" si="41"/>
        <v>#DIV/0!</v>
      </c>
      <c r="AD364" s="816">
        <f t="shared" si="42"/>
        <v>0</v>
      </c>
      <c r="AE364" s="816">
        <f t="shared" si="43"/>
        <v>0</v>
      </c>
      <c r="AF364" s="826"/>
    </row>
    <row r="365" spans="1:32">
      <c r="A365" s="103" t="s">
        <v>738</v>
      </c>
      <c r="B365" s="40" t="s">
        <v>739</v>
      </c>
      <c r="C365" s="40" t="s">
        <v>1396</v>
      </c>
      <c r="D365" s="40" t="s">
        <v>43</v>
      </c>
      <c r="E365" s="40" t="s">
        <v>44</v>
      </c>
      <c r="F365" s="40" t="s">
        <v>884</v>
      </c>
      <c r="G365" s="40" t="s">
        <v>622</v>
      </c>
      <c r="H365" s="40" t="s">
        <v>1358</v>
      </c>
      <c r="I365" s="40" t="s">
        <v>46</v>
      </c>
      <c r="J365" s="449">
        <v>1795468359.2024291</v>
      </c>
      <c r="K365" s="604" t="s">
        <v>717</v>
      </c>
      <c r="L365" s="604"/>
      <c r="M365" s="604"/>
      <c r="N365" s="604" t="s">
        <v>708</v>
      </c>
      <c r="O365" s="647" t="s">
        <v>728</v>
      </c>
      <c r="P365" s="604"/>
      <c r="Q365" s="434">
        <v>36998784</v>
      </c>
      <c r="R365" s="449">
        <v>35816868</v>
      </c>
      <c r="S365" s="672"/>
      <c r="T365" s="41"/>
      <c r="U365" s="449">
        <v>413646</v>
      </c>
      <c r="V365" s="41">
        <v>695420</v>
      </c>
      <c r="W365" s="672">
        <v>72850</v>
      </c>
      <c r="X365" s="41"/>
      <c r="Y365" s="672"/>
      <c r="Z365" s="456"/>
      <c r="AA365" s="434">
        <f>+R365+T365+U365+V365+X365</f>
        <v>36925934</v>
      </c>
      <c r="AB365" s="456">
        <f t="shared" si="40"/>
        <v>0.96996511990732581</v>
      </c>
      <c r="AC365" s="456">
        <f t="shared" si="41"/>
        <v>1.1202045695039155E-2</v>
      </c>
      <c r="AD365" s="456">
        <f t="shared" si="42"/>
        <v>1.9948481863478969E-2</v>
      </c>
      <c r="AE365" s="456">
        <f t="shared" si="43"/>
        <v>2.3038334141613448E-4</v>
      </c>
      <c r="AF365" s="720">
        <f>+(AA365/J365)+Z365</f>
        <v>2.0566184756607458E-2</v>
      </c>
    </row>
    <row r="366" spans="1:32">
      <c r="A366" s="103" t="s">
        <v>740</v>
      </c>
      <c r="B366" s="40" t="s">
        <v>741</v>
      </c>
      <c r="C366" s="40" t="s">
        <v>1396</v>
      </c>
      <c r="D366" s="40" t="s">
        <v>43</v>
      </c>
      <c r="E366" s="40" t="s">
        <v>44</v>
      </c>
      <c r="F366" s="40" t="s">
        <v>884</v>
      </c>
      <c r="G366" s="40" t="s">
        <v>622</v>
      </c>
      <c r="H366" s="40" t="s">
        <v>1358</v>
      </c>
      <c r="I366" s="40" t="s">
        <v>46</v>
      </c>
      <c r="J366" s="449">
        <v>2289676061.1659918</v>
      </c>
      <c r="K366" s="604" t="s">
        <v>717</v>
      </c>
      <c r="L366" s="604"/>
      <c r="M366" s="604"/>
      <c r="N366" s="604" t="s">
        <v>708</v>
      </c>
      <c r="O366" s="647" t="s">
        <v>728</v>
      </c>
      <c r="P366" s="604"/>
      <c r="Q366" s="434">
        <v>47234234.82</v>
      </c>
      <c r="R366" s="449">
        <v>45676538</v>
      </c>
      <c r="S366" s="672"/>
      <c r="T366" s="41"/>
      <c r="U366" s="449">
        <v>528046</v>
      </c>
      <c r="V366" s="41">
        <v>888963</v>
      </c>
      <c r="W366" s="672">
        <v>140687.82</v>
      </c>
      <c r="X366" s="41"/>
      <c r="Y366" s="672"/>
      <c r="Z366" s="456"/>
      <c r="AA366" s="434">
        <f>+R366+T366+U366+V366+X366</f>
        <v>47093547</v>
      </c>
      <c r="AB366" s="456">
        <f t="shared" si="40"/>
        <v>0.96991076080975591</v>
      </c>
      <c r="AC366" s="456">
        <f t="shared" si="41"/>
        <v>1.1212703940096082E-2</v>
      </c>
      <c r="AD366" s="456">
        <f t="shared" si="42"/>
        <v>1.9948908395687963E-2</v>
      </c>
      <c r="AE366" s="456">
        <f t="shared" si="43"/>
        <v>2.3062039602715615E-4</v>
      </c>
      <c r="AF366" s="720">
        <f>+(AA366/J366)+Z366</f>
        <v>2.0567777162337167E-2</v>
      </c>
    </row>
    <row r="367" spans="1:32">
      <c r="A367" s="103" t="s">
        <v>742</v>
      </c>
      <c r="B367" s="40" t="s">
        <v>743</v>
      </c>
      <c r="C367" s="40" t="s">
        <v>1396</v>
      </c>
      <c r="D367" s="40" t="s">
        <v>43</v>
      </c>
      <c r="E367" s="40" t="s">
        <v>44</v>
      </c>
      <c r="F367" s="40" t="s">
        <v>55</v>
      </c>
      <c r="G367" s="40" t="s">
        <v>56</v>
      </c>
      <c r="H367" s="40" t="s">
        <v>1353</v>
      </c>
      <c r="I367" s="40" t="s">
        <v>46</v>
      </c>
      <c r="J367" s="449">
        <v>1160566442.810688</v>
      </c>
      <c r="K367" s="604" t="s">
        <v>717</v>
      </c>
      <c r="L367" s="604"/>
      <c r="M367" s="604"/>
      <c r="N367" s="604" t="s">
        <v>708</v>
      </c>
      <c r="O367" s="647"/>
      <c r="P367" s="604"/>
      <c r="Q367" s="434">
        <v>10273410.036101777</v>
      </c>
      <c r="R367" s="449">
        <v>9290125.6500348356</v>
      </c>
      <c r="S367" s="672"/>
      <c r="T367" s="41"/>
      <c r="U367" s="449">
        <v>287397.58301297529</v>
      </c>
      <c r="V367" s="41">
        <v>513897.78516606253</v>
      </c>
      <c r="W367" s="672">
        <v>181989.01788790253</v>
      </c>
      <c r="X367" s="41"/>
      <c r="Y367" s="672"/>
      <c r="Z367" s="456">
        <v>8.3987000000000003E-3</v>
      </c>
      <c r="AA367" s="434">
        <f>+R367+T367+U367+V367+X367</f>
        <v>10091421.018213874</v>
      </c>
      <c r="AB367" s="456">
        <f t="shared" si="40"/>
        <v>0.92059637916872261</v>
      </c>
      <c r="AC367" s="456">
        <f t="shared" si="41"/>
        <v>2.8479396756339384E-2</v>
      </c>
      <c r="AD367" s="456">
        <f t="shared" si="42"/>
        <v>8.0048201527659051E-3</v>
      </c>
      <c r="AE367" s="456">
        <f t="shared" si="43"/>
        <v>2.4763561344833375E-4</v>
      </c>
      <c r="AF367" s="720">
        <f>+(AA367/J367)+Z367</f>
        <v>1.7093954873796131E-2</v>
      </c>
    </row>
    <row r="368" spans="1:32">
      <c r="A368" s="103" t="s">
        <v>744</v>
      </c>
      <c r="B368" s="40" t="s">
        <v>745</v>
      </c>
      <c r="C368" s="40" t="s">
        <v>1396</v>
      </c>
      <c r="D368" s="40" t="s">
        <v>43</v>
      </c>
      <c r="E368" s="40" t="s">
        <v>44</v>
      </c>
      <c r="F368" s="40" t="s">
        <v>55</v>
      </c>
      <c r="G368" s="40" t="s">
        <v>56</v>
      </c>
      <c r="H368" s="40" t="s">
        <v>1353</v>
      </c>
      <c r="I368" s="40" t="s">
        <v>69</v>
      </c>
      <c r="J368" s="449">
        <v>413653.44396761106</v>
      </c>
      <c r="K368" s="604" t="s">
        <v>717</v>
      </c>
      <c r="L368" s="604"/>
      <c r="M368" s="604"/>
      <c r="N368" s="604" t="s">
        <v>708</v>
      </c>
      <c r="O368" s="647"/>
      <c r="P368" s="604"/>
      <c r="Q368" s="434">
        <v>3660.0433275047999</v>
      </c>
      <c r="R368" s="449">
        <v>3309.734769429419</v>
      </c>
      <c r="S368" s="672"/>
      <c r="T368" s="41"/>
      <c r="U368" s="449">
        <v>102.38933346875193</v>
      </c>
      <c r="V368" s="41">
        <v>183.08313919204198</v>
      </c>
      <c r="W368" s="672">
        <v>64.836085414586933</v>
      </c>
      <c r="X368" s="41"/>
      <c r="Y368" s="672"/>
      <c r="Z368" s="456">
        <v>8.3987000000000003E-3</v>
      </c>
      <c r="AA368" s="434">
        <f>+R368+T368+U368+V368+X368</f>
        <v>3595.2072420902127</v>
      </c>
      <c r="AB368" s="456">
        <f t="shared" si="40"/>
        <v>0.92059637916872261</v>
      </c>
      <c r="AC368" s="456">
        <f t="shared" si="41"/>
        <v>2.8479396756339401E-2</v>
      </c>
      <c r="AD368" s="456">
        <f t="shared" si="42"/>
        <v>8.0012261899324848E-3</v>
      </c>
      <c r="AE368" s="456">
        <f t="shared" si="43"/>
        <v>2.4752443128883749E-4</v>
      </c>
      <c r="AF368" s="720">
        <f>+(AA368/J368)+Z368</f>
        <v>1.70900509231455E-2</v>
      </c>
    </row>
    <row r="369" spans="1:32">
      <c r="A369" s="103" t="s">
        <v>746</v>
      </c>
      <c r="B369" s="40" t="s">
        <v>747</v>
      </c>
      <c r="C369" s="40" t="s">
        <v>1396</v>
      </c>
      <c r="D369" s="40" t="s">
        <v>43</v>
      </c>
      <c r="E369" s="40" t="s">
        <v>44</v>
      </c>
      <c r="F369" s="40" t="s">
        <v>1348</v>
      </c>
      <c r="G369" s="40" t="s">
        <v>365</v>
      </c>
      <c r="H369" s="40" t="s">
        <v>1355</v>
      </c>
      <c r="I369" s="40" t="s">
        <v>239</v>
      </c>
      <c r="J369" s="449">
        <v>81752656.060483873</v>
      </c>
      <c r="K369" s="604" t="s">
        <v>711</v>
      </c>
      <c r="L369" s="604"/>
      <c r="M369" s="604"/>
      <c r="N369" s="604" t="s">
        <v>708</v>
      </c>
      <c r="O369" s="647"/>
      <c r="P369" s="604"/>
      <c r="Q369" s="434">
        <v>458727.47169286408</v>
      </c>
      <c r="R369" s="449">
        <v>411503</v>
      </c>
      <c r="S369" s="672"/>
      <c r="T369" s="41"/>
      <c r="U369" s="449">
        <v>23984</v>
      </c>
      <c r="V369" s="41">
        <v>23079</v>
      </c>
      <c r="W369" s="672">
        <v>161.47169286409792</v>
      </c>
      <c r="X369" s="41"/>
      <c r="Y369" s="672"/>
      <c r="Z369" s="456"/>
      <c r="AA369" s="434">
        <f>+R369+T369+U369+V369+X369</f>
        <v>458566</v>
      </c>
      <c r="AB369" s="456">
        <f t="shared" si="40"/>
        <v>0.89736919004025595</v>
      </c>
      <c r="AC369" s="456">
        <f t="shared" si="41"/>
        <v>5.2302176785893419E-2</v>
      </c>
      <c r="AD369" s="456">
        <f t="shared" si="42"/>
        <v>5.0335123019801791E-3</v>
      </c>
      <c r="AE369" s="456">
        <f t="shared" si="43"/>
        <v>2.9337273130619368E-4</v>
      </c>
      <c r="AF369" s="720">
        <f>+(AA369/J369)+Z369</f>
        <v>5.6091877878650769E-3</v>
      </c>
    </row>
    <row r="370" spans="1:32">
      <c r="A370" s="655" t="s">
        <v>748</v>
      </c>
      <c r="B370" s="633" t="s">
        <v>749</v>
      </c>
      <c r="C370" s="633" t="s">
        <v>1396</v>
      </c>
      <c r="D370" s="632" t="s">
        <v>553</v>
      </c>
      <c r="E370" s="633" t="s">
        <v>621</v>
      </c>
      <c r="F370" s="633" t="s">
        <v>884</v>
      </c>
      <c r="G370" s="632" t="s">
        <v>622</v>
      </c>
      <c r="H370" s="632" t="s">
        <v>1358</v>
      </c>
      <c r="I370" s="632" t="s">
        <v>46</v>
      </c>
      <c r="J370" s="634">
        <v>8719253778.6113358</v>
      </c>
      <c r="K370" s="656" t="s">
        <v>727</v>
      </c>
      <c r="L370" s="656"/>
      <c r="M370" s="656"/>
      <c r="N370" s="656" t="s">
        <v>708</v>
      </c>
      <c r="O370" s="657" t="s">
        <v>728</v>
      </c>
      <c r="P370" s="656"/>
      <c r="Q370" s="921">
        <v>165492177</v>
      </c>
      <c r="R370" s="918">
        <v>160647285</v>
      </c>
      <c r="S370" s="919"/>
      <c r="T370" s="918"/>
      <c r="U370" s="918">
        <v>2189334</v>
      </c>
      <c r="V370" s="918">
        <v>2580096</v>
      </c>
      <c r="W370" s="919">
        <v>75462</v>
      </c>
      <c r="X370" s="918"/>
      <c r="Y370" s="919"/>
      <c r="Z370" s="819"/>
      <c r="AA370" s="921">
        <f>+R370+T371+U370+V370+X371</f>
        <v>165416715</v>
      </c>
      <c r="AB370" s="819">
        <f t="shared" si="40"/>
        <v>0.97116718222822884</v>
      </c>
      <c r="AC370" s="819">
        <f t="shared" si="41"/>
        <v>1.3235264646622924E-2</v>
      </c>
      <c r="AD370" s="819">
        <f t="shared" si="42"/>
        <v>1.8424430470652654E-2</v>
      </c>
      <c r="AE370" s="819">
        <f t="shared" si="43"/>
        <v>2.5109190024615643E-4</v>
      </c>
      <c r="AF370" s="825">
        <f>+(AA370/J371)+Z371</f>
        <v>1.8971430262274686E-2</v>
      </c>
    </row>
    <row r="371" spans="1:32" ht="12.75" customHeight="1">
      <c r="A371" s="658" t="s">
        <v>750</v>
      </c>
      <c r="B371" s="633" t="s">
        <v>749</v>
      </c>
      <c r="C371" s="633" t="s">
        <v>1396</v>
      </c>
      <c r="D371" s="633" t="s">
        <v>43</v>
      </c>
      <c r="E371" s="633" t="s">
        <v>44</v>
      </c>
      <c r="F371" s="633" t="s">
        <v>1348</v>
      </c>
      <c r="G371" s="633" t="s">
        <v>641</v>
      </c>
      <c r="H371" s="633" t="s">
        <v>45</v>
      </c>
      <c r="I371" s="633" t="s">
        <v>46</v>
      </c>
      <c r="J371" s="634">
        <v>8719253778.6113358</v>
      </c>
      <c r="K371" s="656" t="s">
        <v>734</v>
      </c>
      <c r="L371" s="656"/>
      <c r="M371" s="656"/>
      <c r="N371" s="656" t="s">
        <v>708</v>
      </c>
      <c r="O371" s="657" t="s">
        <v>728</v>
      </c>
      <c r="P371" s="656"/>
      <c r="Q371" s="916"/>
      <c r="R371" s="916"/>
      <c r="S371" s="916"/>
      <c r="T371" s="916"/>
      <c r="U371" s="920"/>
      <c r="V371" s="916"/>
      <c r="W371" s="916"/>
      <c r="X371" s="916"/>
      <c r="Y371" s="916"/>
      <c r="Z371" s="923"/>
      <c r="AA371" s="836"/>
      <c r="AB371" s="816" t="e">
        <f t="shared" si="40"/>
        <v>#DIV/0!</v>
      </c>
      <c r="AC371" s="816" t="e">
        <f t="shared" si="41"/>
        <v>#DIV/0!</v>
      </c>
      <c r="AD371" s="816">
        <f t="shared" si="42"/>
        <v>0</v>
      </c>
      <c r="AE371" s="816">
        <f t="shared" si="43"/>
        <v>0</v>
      </c>
      <c r="AF371" s="826"/>
    </row>
    <row r="372" spans="1:32">
      <c r="A372" s="103" t="s">
        <v>751</v>
      </c>
      <c r="B372" s="40" t="s">
        <v>752</v>
      </c>
      <c r="C372" s="40" t="s">
        <v>1396</v>
      </c>
      <c r="D372" s="40" t="s">
        <v>43</v>
      </c>
      <c r="E372" s="40" t="s">
        <v>44</v>
      </c>
      <c r="F372" s="40" t="s">
        <v>884</v>
      </c>
      <c r="G372" s="40" t="s">
        <v>622</v>
      </c>
      <c r="H372" s="40" t="s">
        <v>1358</v>
      </c>
      <c r="I372" s="40" t="s">
        <v>46</v>
      </c>
      <c r="J372" s="449">
        <v>2980756167.506073</v>
      </c>
      <c r="K372" s="604" t="s">
        <v>717</v>
      </c>
      <c r="L372" s="604"/>
      <c r="M372" s="604"/>
      <c r="N372" s="604" t="s">
        <v>708</v>
      </c>
      <c r="O372" s="647" t="s">
        <v>728</v>
      </c>
      <c r="P372" s="604"/>
      <c r="Q372" s="434">
        <v>46250708</v>
      </c>
      <c r="R372" s="449">
        <v>44421553</v>
      </c>
      <c r="S372" s="672"/>
      <c r="T372" s="41"/>
      <c r="U372" s="449">
        <v>690013</v>
      </c>
      <c r="V372" s="41">
        <v>1065917</v>
      </c>
      <c r="W372" s="672">
        <v>73225</v>
      </c>
      <c r="X372" s="41"/>
      <c r="Y372" s="672"/>
      <c r="Z372" s="456"/>
      <c r="AA372" s="434">
        <f t="shared" ref="AA372:AA377" si="46">+R372+T372+U372+V372+X372</f>
        <v>46177483</v>
      </c>
      <c r="AB372" s="456">
        <f t="shared" si="40"/>
        <v>0.96197432415274775</v>
      </c>
      <c r="AC372" s="456">
        <f t="shared" si="41"/>
        <v>1.4942629073135059E-2</v>
      </c>
      <c r="AD372" s="456">
        <f t="shared" si="42"/>
        <v>1.490277986648148E-2</v>
      </c>
      <c r="AE372" s="456">
        <f t="shared" si="43"/>
        <v>2.3148924676295052E-4</v>
      </c>
      <c r="AF372" s="720">
        <f t="shared" ref="AF372:AF377" si="47">+(AA372/J372)+Z372</f>
        <v>1.5491868641719725E-2</v>
      </c>
    </row>
    <row r="373" spans="1:32">
      <c r="A373" s="103" t="s">
        <v>753</v>
      </c>
      <c r="B373" s="40" t="s">
        <v>754</v>
      </c>
      <c r="C373" s="40" t="s">
        <v>1396</v>
      </c>
      <c r="D373" s="40" t="s">
        <v>43</v>
      </c>
      <c r="E373" s="40" t="s">
        <v>44</v>
      </c>
      <c r="F373" s="40" t="s">
        <v>884</v>
      </c>
      <c r="G373" s="40" t="s">
        <v>622</v>
      </c>
      <c r="H373" s="40" t="s">
        <v>1358</v>
      </c>
      <c r="I373" s="40" t="s">
        <v>46</v>
      </c>
      <c r="J373" s="449">
        <v>2181725388.3846154</v>
      </c>
      <c r="K373" s="604" t="s">
        <v>717</v>
      </c>
      <c r="L373" s="604"/>
      <c r="M373" s="604"/>
      <c r="N373" s="604" t="s">
        <v>708</v>
      </c>
      <c r="O373" s="647" t="s">
        <v>728</v>
      </c>
      <c r="P373" s="604"/>
      <c r="Q373" s="434">
        <v>44392086</v>
      </c>
      <c r="R373" s="449">
        <v>42967700</v>
      </c>
      <c r="S373" s="672"/>
      <c r="T373" s="41"/>
      <c r="U373" s="449">
        <v>501792</v>
      </c>
      <c r="V373" s="41">
        <v>848537</v>
      </c>
      <c r="W373" s="672">
        <v>74057</v>
      </c>
      <c r="X373" s="41"/>
      <c r="Y373" s="672"/>
      <c r="Z373" s="456"/>
      <c r="AA373" s="434">
        <f t="shared" si="46"/>
        <v>44318029</v>
      </c>
      <c r="AB373" s="456">
        <f t="shared" si="40"/>
        <v>0.96953093288512449</v>
      </c>
      <c r="AC373" s="456">
        <f t="shared" si="41"/>
        <v>1.1322525196235599E-2</v>
      </c>
      <c r="AD373" s="456">
        <f t="shared" si="42"/>
        <v>1.9694366774461004E-2</v>
      </c>
      <c r="AE373" s="456">
        <f t="shared" si="43"/>
        <v>2.2999778188011777E-4</v>
      </c>
      <c r="AF373" s="720">
        <f t="shared" si="47"/>
        <v>2.0313293889298221E-2</v>
      </c>
    </row>
    <row r="374" spans="1:32">
      <c r="A374" s="103" t="s">
        <v>755</v>
      </c>
      <c r="B374" s="40" t="s">
        <v>756</v>
      </c>
      <c r="C374" s="40" t="s">
        <v>1396</v>
      </c>
      <c r="D374" s="40" t="s">
        <v>43</v>
      </c>
      <c r="E374" s="40" t="s">
        <v>44</v>
      </c>
      <c r="F374" s="40" t="s">
        <v>884</v>
      </c>
      <c r="G374" s="40" t="s">
        <v>97</v>
      </c>
      <c r="H374" s="40" t="s">
        <v>1357</v>
      </c>
      <c r="I374" s="40" t="s">
        <v>46</v>
      </c>
      <c r="J374" s="449">
        <v>10762545249</v>
      </c>
      <c r="K374" s="604" t="s">
        <v>717</v>
      </c>
      <c r="L374" s="604">
        <v>0.2</v>
      </c>
      <c r="M374" s="604" t="s">
        <v>108</v>
      </c>
      <c r="N374" s="604" t="s">
        <v>708</v>
      </c>
      <c r="O374" s="647"/>
      <c r="P374" s="604"/>
      <c r="Q374" s="434">
        <v>225064627.52000001</v>
      </c>
      <c r="R374" s="449">
        <v>216731824</v>
      </c>
      <c r="S374" s="672"/>
      <c r="T374" s="41"/>
      <c r="U374" s="449">
        <v>3175372</v>
      </c>
      <c r="V374" s="41">
        <v>3315086</v>
      </c>
      <c r="W374" s="672">
        <v>1842345.52</v>
      </c>
      <c r="X374" s="41"/>
      <c r="Y374" s="672"/>
      <c r="Z374" s="456"/>
      <c r="AA374" s="434">
        <f t="shared" si="46"/>
        <v>223222282</v>
      </c>
      <c r="AB374" s="456">
        <f t="shared" si="40"/>
        <v>0.97092378976754656</v>
      </c>
      <c r="AC374" s="456">
        <f t="shared" si="41"/>
        <v>1.4225156967080911E-2</v>
      </c>
      <c r="AD374" s="456">
        <f t="shared" si="42"/>
        <v>2.0137599330431397E-2</v>
      </c>
      <c r="AE374" s="456">
        <f t="shared" si="43"/>
        <v>2.950391312217748E-4</v>
      </c>
      <c r="AF374" s="720">
        <f t="shared" si="47"/>
        <v>2.0740659094626399E-2</v>
      </c>
    </row>
    <row r="375" spans="1:32">
      <c r="A375" s="103" t="s">
        <v>757</v>
      </c>
      <c r="B375" s="40" t="s">
        <v>758</v>
      </c>
      <c r="C375" s="40" t="s">
        <v>1396</v>
      </c>
      <c r="D375" s="40" t="s">
        <v>43</v>
      </c>
      <c r="E375" s="40" t="s">
        <v>44</v>
      </c>
      <c r="F375" s="40" t="s">
        <v>1348</v>
      </c>
      <c r="G375" s="40" t="s">
        <v>759</v>
      </c>
      <c r="H375" s="40" t="s">
        <v>1357</v>
      </c>
      <c r="I375" s="40" t="s">
        <v>46</v>
      </c>
      <c r="J375" s="449">
        <v>8889025452.2145748</v>
      </c>
      <c r="K375" s="604" t="s">
        <v>734</v>
      </c>
      <c r="L375" s="604">
        <v>0.2</v>
      </c>
      <c r="M375" s="604" t="s">
        <v>108</v>
      </c>
      <c r="N375" s="604" t="s">
        <v>708</v>
      </c>
      <c r="O375" s="647"/>
      <c r="P375" s="604"/>
      <c r="Q375" s="434">
        <v>138917744.80000001</v>
      </c>
      <c r="R375" s="449">
        <v>133415146</v>
      </c>
      <c r="S375" s="672"/>
      <c r="T375" s="41"/>
      <c r="U375" s="449">
        <v>2559048</v>
      </c>
      <c r="V375" s="41">
        <v>2739493</v>
      </c>
      <c r="W375" s="672">
        <v>204057.8</v>
      </c>
      <c r="X375" s="41"/>
      <c r="Y375" s="672"/>
      <c r="Z375" s="456"/>
      <c r="AA375" s="434">
        <f t="shared" si="46"/>
        <v>138713687</v>
      </c>
      <c r="AB375" s="456">
        <f t="shared" si="40"/>
        <v>0.96180232019930378</v>
      </c>
      <c r="AC375" s="456">
        <f t="shared" si="41"/>
        <v>1.8448417422572007E-2</v>
      </c>
      <c r="AD375" s="456">
        <f t="shared" si="42"/>
        <v>1.5008973336527179E-2</v>
      </c>
      <c r="AE375" s="456">
        <f t="shared" si="43"/>
        <v>2.8788847706161643E-4</v>
      </c>
      <c r="AF375" s="720">
        <f t="shared" si="47"/>
        <v>1.5605050041277747E-2</v>
      </c>
    </row>
    <row r="376" spans="1:32">
      <c r="A376" s="103" t="s">
        <v>760</v>
      </c>
      <c r="B376" s="40" t="s">
        <v>761</v>
      </c>
      <c r="C376" s="40" t="s">
        <v>1396</v>
      </c>
      <c r="D376" s="40" t="s">
        <v>43</v>
      </c>
      <c r="E376" s="40" t="s">
        <v>44</v>
      </c>
      <c r="F376" s="40" t="s">
        <v>1348</v>
      </c>
      <c r="G376" s="40" t="s">
        <v>365</v>
      </c>
      <c r="H376" s="40" t="s">
        <v>1187</v>
      </c>
      <c r="I376" s="40" t="s">
        <v>69</v>
      </c>
      <c r="J376" s="449">
        <v>222149075.59677419</v>
      </c>
      <c r="K376" s="604" t="s">
        <v>711</v>
      </c>
      <c r="L376" s="604"/>
      <c r="M376" s="604"/>
      <c r="N376" s="604" t="s">
        <v>708</v>
      </c>
      <c r="O376" s="647"/>
      <c r="P376" s="604"/>
      <c r="Q376" s="434">
        <v>1228336.4348455761</v>
      </c>
      <c r="R376" s="449">
        <v>1111284</v>
      </c>
      <c r="S376" s="672"/>
      <c r="T376" s="41"/>
      <c r="U376" s="449">
        <v>58914</v>
      </c>
      <c r="V376" s="41">
        <v>57809</v>
      </c>
      <c r="W376" s="672">
        <v>329.43484557610049</v>
      </c>
      <c r="X376" s="41"/>
      <c r="Y376" s="672"/>
      <c r="Z376" s="456"/>
      <c r="AA376" s="434">
        <f t="shared" si="46"/>
        <v>1228007</v>
      </c>
      <c r="AB376" s="456">
        <f t="shared" si="40"/>
        <v>0.90494923888870338</v>
      </c>
      <c r="AC376" s="456">
        <f t="shared" si="41"/>
        <v>4.797529655775578E-2</v>
      </c>
      <c r="AD376" s="456">
        <f t="shared" si="42"/>
        <v>5.0024245971525298E-3</v>
      </c>
      <c r="AE376" s="456">
        <f t="shared" si="43"/>
        <v>2.6520029327934547E-4</v>
      </c>
      <c r="AF376" s="720">
        <f t="shared" si="47"/>
        <v>5.527851046425114E-3</v>
      </c>
    </row>
    <row r="377" spans="1:32">
      <c r="A377" s="103" t="s">
        <v>762</v>
      </c>
      <c r="B377" s="40" t="s">
        <v>763</v>
      </c>
      <c r="C377" s="40" t="s">
        <v>1396</v>
      </c>
      <c r="D377" s="40" t="s">
        <v>553</v>
      </c>
      <c r="E377" s="40" t="s">
        <v>621</v>
      </c>
      <c r="F377" s="40" t="s">
        <v>884</v>
      </c>
      <c r="G377" s="40" t="s">
        <v>622</v>
      </c>
      <c r="H377" s="40" t="s">
        <v>1358</v>
      </c>
      <c r="I377" s="40" t="s">
        <v>46</v>
      </c>
      <c r="J377" s="449">
        <v>2876693756.0607285</v>
      </c>
      <c r="K377" s="604" t="s">
        <v>717</v>
      </c>
      <c r="L377" s="604"/>
      <c r="M377" s="604"/>
      <c r="N377" s="604">
        <v>0</v>
      </c>
      <c r="O377" s="647" t="s">
        <v>728</v>
      </c>
      <c r="P377" s="604"/>
      <c r="Q377" s="434">
        <v>43957841.049999997</v>
      </c>
      <c r="R377" s="449">
        <v>43110470</v>
      </c>
      <c r="S377" s="672"/>
      <c r="T377" s="41"/>
      <c r="U377" s="449">
        <v>0</v>
      </c>
      <c r="V377" s="41">
        <v>719000</v>
      </c>
      <c r="W377" s="672">
        <v>128371.05</v>
      </c>
      <c r="X377" s="41"/>
      <c r="Y377" s="672"/>
      <c r="Z377" s="456"/>
      <c r="AA377" s="434">
        <f t="shared" si="46"/>
        <v>43829470</v>
      </c>
      <c r="AB377" s="456">
        <f t="shared" si="40"/>
        <v>0.98359551233450915</v>
      </c>
      <c r="AC377" s="456">
        <f t="shared" si="41"/>
        <v>0</v>
      </c>
      <c r="AD377" s="456">
        <f t="shared" si="42"/>
        <v>1.4986117277577152E-2</v>
      </c>
      <c r="AE377" s="456">
        <f t="shared" si="43"/>
        <v>0</v>
      </c>
      <c r="AF377" s="720">
        <f t="shared" si="47"/>
        <v>1.5236056986482623E-2</v>
      </c>
    </row>
    <row r="378" spans="1:32">
      <c r="A378" s="648" t="s">
        <v>764</v>
      </c>
      <c r="B378" s="514" t="s">
        <v>765</v>
      </c>
      <c r="C378" s="514" t="s">
        <v>1396</v>
      </c>
      <c r="D378" s="622" t="s">
        <v>43</v>
      </c>
      <c r="E378" s="514" t="s">
        <v>621</v>
      </c>
      <c r="F378" s="514" t="s">
        <v>884</v>
      </c>
      <c r="G378" s="622" t="s">
        <v>622</v>
      </c>
      <c r="H378" s="622" t="s">
        <v>1356</v>
      </c>
      <c r="I378" s="622" t="s">
        <v>46</v>
      </c>
      <c r="J378" s="515">
        <v>5663743911.9838057</v>
      </c>
      <c r="K378" s="649" t="s">
        <v>727</v>
      </c>
      <c r="L378" s="649"/>
      <c r="M378" s="649"/>
      <c r="N378" s="649" t="s">
        <v>708</v>
      </c>
      <c r="O378" s="650" t="s">
        <v>728</v>
      </c>
      <c r="P378" s="649"/>
      <c r="Q378" s="921">
        <v>128497700</v>
      </c>
      <c r="R378" s="922">
        <v>125248829</v>
      </c>
      <c r="S378" s="919"/>
      <c r="T378" s="922"/>
      <c r="U378" s="922">
        <v>1308452</v>
      </c>
      <c r="V378" s="922">
        <v>1864933</v>
      </c>
      <c r="W378" s="919">
        <v>75486</v>
      </c>
      <c r="X378" s="922"/>
      <c r="Y378" s="919"/>
      <c r="Z378" s="815"/>
      <c r="AA378" s="921">
        <f>+R378+T379+U378+V378+X379</f>
        <v>128422214</v>
      </c>
      <c r="AB378" s="815">
        <f t="shared" si="40"/>
        <v>0.9752894386324783</v>
      </c>
      <c r="AC378" s="815">
        <f t="shared" si="41"/>
        <v>1.0188673433086895E-2</v>
      </c>
      <c r="AD378" s="815">
        <f t="shared" si="42"/>
        <v>2.2114140566099474E-2</v>
      </c>
      <c r="AE378" s="815">
        <f t="shared" si="43"/>
        <v>2.3102245093240743E-4</v>
      </c>
      <c r="AF378" s="825">
        <f>+(AA378/J379)+Z379</f>
        <v>2.2674438674438288E-2</v>
      </c>
    </row>
    <row r="379" spans="1:32">
      <c r="A379" s="513" t="s">
        <v>766</v>
      </c>
      <c r="B379" s="514" t="s">
        <v>765</v>
      </c>
      <c r="C379" s="514" t="s">
        <v>1396</v>
      </c>
      <c r="D379" s="514" t="s">
        <v>43</v>
      </c>
      <c r="E379" s="514" t="s">
        <v>44</v>
      </c>
      <c r="F379" s="514" t="s">
        <v>1348</v>
      </c>
      <c r="G379" s="514" t="s">
        <v>641</v>
      </c>
      <c r="H379" s="514" t="s">
        <v>45</v>
      </c>
      <c r="I379" s="514" t="s">
        <v>46</v>
      </c>
      <c r="J379" s="515">
        <v>5663743911.9838057</v>
      </c>
      <c r="K379" s="649" t="s">
        <v>734</v>
      </c>
      <c r="L379" s="649"/>
      <c r="M379" s="649"/>
      <c r="N379" s="649" t="s">
        <v>708</v>
      </c>
      <c r="O379" s="650" t="s">
        <v>728</v>
      </c>
      <c r="P379" s="649"/>
      <c r="Q379" s="916"/>
      <c r="R379" s="916"/>
      <c r="S379" s="916"/>
      <c r="T379" s="916"/>
      <c r="U379" s="916"/>
      <c r="V379" s="916"/>
      <c r="W379" s="916"/>
      <c r="X379" s="916"/>
      <c r="Y379" s="916"/>
      <c r="Z379" s="923"/>
      <c r="AA379" s="836"/>
      <c r="AB379" s="816" t="e">
        <f t="shared" si="40"/>
        <v>#DIV/0!</v>
      </c>
      <c r="AC379" s="816" t="e">
        <f t="shared" si="41"/>
        <v>#DIV/0!</v>
      </c>
      <c r="AD379" s="816">
        <f t="shared" si="42"/>
        <v>0</v>
      </c>
      <c r="AE379" s="816">
        <f t="shared" si="43"/>
        <v>0</v>
      </c>
      <c r="AF379" s="826"/>
    </row>
    <row r="380" spans="1:32">
      <c r="A380" s="103" t="s">
        <v>767</v>
      </c>
      <c r="B380" s="40" t="s">
        <v>768</v>
      </c>
      <c r="C380" s="40" t="s">
        <v>1396</v>
      </c>
      <c r="D380" s="40" t="s">
        <v>43</v>
      </c>
      <c r="E380" s="40" t="s">
        <v>44</v>
      </c>
      <c r="F380" s="40" t="s">
        <v>884</v>
      </c>
      <c r="G380" s="40" t="s">
        <v>622</v>
      </c>
      <c r="H380" s="40" t="s">
        <v>1358</v>
      </c>
      <c r="I380" s="40" t="s">
        <v>46</v>
      </c>
      <c r="J380" s="449">
        <v>2615852161.445344</v>
      </c>
      <c r="K380" s="604" t="s">
        <v>717</v>
      </c>
      <c r="L380" s="604"/>
      <c r="M380" s="604"/>
      <c r="N380" s="604" t="s">
        <v>708</v>
      </c>
      <c r="O380" s="647" t="s">
        <v>728</v>
      </c>
      <c r="P380" s="604"/>
      <c r="Q380" s="434">
        <v>53528023</v>
      </c>
      <c r="R380" s="449">
        <v>51820431</v>
      </c>
      <c r="S380" s="672"/>
      <c r="T380" s="41"/>
      <c r="U380" s="449">
        <v>646532</v>
      </c>
      <c r="V380" s="41">
        <v>975917</v>
      </c>
      <c r="W380" s="672">
        <v>85143</v>
      </c>
      <c r="X380" s="41"/>
      <c r="Y380" s="672"/>
      <c r="Z380" s="456"/>
      <c r="AA380" s="434">
        <f>+R380+T380+U380+V380+X380</f>
        <v>53442880</v>
      </c>
      <c r="AB380" s="456">
        <f t="shared" si="40"/>
        <v>0.96964143773688838</v>
      </c>
      <c r="AC380" s="456">
        <f t="shared" si="41"/>
        <v>1.2097626475219898E-2</v>
      </c>
      <c r="AD380" s="456">
        <f t="shared" si="42"/>
        <v>1.9810152792185134E-2</v>
      </c>
      <c r="AE380" s="456">
        <f t="shared" si="43"/>
        <v>2.4715922769992087E-4</v>
      </c>
      <c r="AF380" s="720">
        <f>+(AA380/J380)+Z380</f>
        <v>2.0430390060908892E-2</v>
      </c>
    </row>
    <row r="381" spans="1:32">
      <c r="A381" s="103" t="s">
        <v>769</v>
      </c>
      <c r="B381" s="40" t="s">
        <v>770</v>
      </c>
      <c r="C381" s="40" t="s">
        <v>1396</v>
      </c>
      <c r="D381" s="40" t="s">
        <v>43</v>
      </c>
      <c r="E381" s="40" t="s">
        <v>44</v>
      </c>
      <c r="F381" s="40" t="s">
        <v>884</v>
      </c>
      <c r="G381" s="40" t="s">
        <v>622</v>
      </c>
      <c r="H381" s="40" t="s">
        <v>1358</v>
      </c>
      <c r="I381" s="40" t="s">
        <v>46</v>
      </c>
      <c r="J381" s="449">
        <v>913834765.70850205</v>
      </c>
      <c r="K381" s="604" t="s">
        <v>717</v>
      </c>
      <c r="L381" s="604"/>
      <c r="M381" s="604"/>
      <c r="N381" s="604" t="s">
        <v>708</v>
      </c>
      <c r="O381" s="647" t="s">
        <v>728</v>
      </c>
      <c r="P381" s="604"/>
      <c r="Q381" s="434">
        <v>18794799</v>
      </c>
      <c r="R381" s="449">
        <v>18269639</v>
      </c>
      <c r="S381" s="672"/>
      <c r="T381" s="41"/>
      <c r="U381" s="449">
        <v>219132</v>
      </c>
      <c r="V381" s="41">
        <v>228000</v>
      </c>
      <c r="W381" s="672">
        <v>78028</v>
      </c>
      <c r="X381" s="41"/>
      <c r="Y381" s="672"/>
      <c r="Z381" s="456"/>
      <c r="AA381" s="434">
        <f>+R381+T381+U381+V381+X381</f>
        <v>18716771</v>
      </c>
      <c r="AB381" s="456">
        <f t="shared" si="40"/>
        <v>0.97611062292742701</v>
      </c>
      <c r="AC381" s="456">
        <f t="shared" si="41"/>
        <v>1.1707788699236636E-2</v>
      </c>
      <c r="AD381" s="456">
        <f t="shared" si="42"/>
        <v>1.9992278347864594E-2</v>
      </c>
      <c r="AE381" s="456">
        <f t="shared" si="43"/>
        <v>2.3979389734653565E-4</v>
      </c>
      <c r="AF381" s="720">
        <f>+(AA381/J381)+Z381</f>
        <v>2.04815703038927E-2</v>
      </c>
    </row>
    <row r="382" spans="1:32">
      <c r="A382" s="659" t="s">
        <v>771</v>
      </c>
      <c r="B382" s="491" t="s">
        <v>772</v>
      </c>
      <c r="C382" s="491" t="s">
        <v>1396</v>
      </c>
      <c r="D382" s="621" t="s">
        <v>43</v>
      </c>
      <c r="E382" s="491" t="s">
        <v>621</v>
      </c>
      <c r="F382" s="491" t="s">
        <v>884</v>
      </c>
      <c r="G382" s="621" t="s">
        <v>622</v>
      </c>
      <c r="H382" s="621" t="s">
        <v>1357</v>
      </c>
      <c r="I382" s="621" t="s">
        <v>46</v>
      </c>
      <c r="J382" s="492">
        <v>2082220021.3117409</v>
      </c>
      <c r="K382" s="660" t="s">
        <v>727</v>
      </c>
      <c r="L382" s="660"/>
      <c r="M382" s="660"/>
      <c r="N382" s="660" t="s">
        <v>708</v>
      </c>
      <c r="O382" s="661" t="s">
        <v>728</v>
      </c>
      <c r="P382" s="660"/>
      <c r="Q382" s="921">
        <v>41946842</v>
      </c>
      <c r="R382" s="927">
        <v>40593489</v>
      </c>
      <c r="S382" s="919"/>
      <c r="T382" s="927"/>
      <c r="U382" s="927">
        <v>469511</v>
      </c>
      <c r="V382" s="927">
        <v>810023</v>
      </c>
      <c r="W382" s="919">
        <v>73819</v>
      </c>
      <c r="X382" s="927"/>
      <c r="Y382" s="919"/>
      <c r="Z382" s="829"/>
      <c r="AA382" s="921">
        <f>+R382+T383+U382+V382+X383</f>
        <v>41873023</v>
      </c>
      <c r="AB382" s="829">
        <f t="shared" si="40"/>
        <v>0.96944252150125387</v>
      </c>
      <c r="AC382" s="829">
        <f t="shared" si="41"/>
        <v>1.1212732359925388E-2</v>
      </c>
      <c r="AD382" s="829">
        <f t="shared" si="42"/>
        <v>1.9495292805045274E-2</v>
      </c>
      <c r="AE382" s="829">
        <f t="shared" si="43"/>
        <v>2.2548577729274789E-4</v>
      </c>
      <c r="AF382" s="825">
        <f>+(AA382/J383)+Z383</f>
        <v>2.0109797510073482E-2</v>
      </c>
    </row>
    <row r="383" spans="1:32">
      <c r="A383" s="490" t="s">
        <v>773</v>
      </c>
      <c r="B383" s="491" t="s">
        <v>772</v>
      </c>
      <c r="C383" s="491" t="s">
        <v>1396</v>
      </c>
      <c r="D383" s="491" t="s">
        <v>43</v>
      </c>
      <c r="E383" s="491" t="s">
        <v>44</v>
      </c>
      <c r="F383" s="491" t="s">
        <v>1348</v>
      </c>
      <c r="G383" s="491" t="s">
        <v>641</v>
      </c>
      <c r="H383" s="491" t="s">
        <v>45</v>
      </c>
      <c r="I383" s="491" t="s">
        <v>46</v>
      </c>
      <c r="J383" s="492">
        <v>2082220021.3117409</v>
      </c>
      <c r="K383" s="660" t="s">
        <v>734</v>
      </c>
      <c r="L383" s="660"/>
      <c r="M383" s="660"/>
      <c r="N383" s="660" t="s">
        <v>708</v>
      </c>
      <c r="O383" s="661" t="s">
        <v>728</v>
      </c>
      <c r="P383" s="660"/>
      <c r="Q383" s="916"/>
      <c r="R383" s="916"/>
      <c r="S383" s="916"/>
      <c r="T383" s="916"/>
      <c r="U383" s="916"/>
      <c r="V383" s="916"/>
      <c r="W383" s="916"/>
      <c r="X383" s="916"/>
      <c r="Y383" s="916"/>
      <c r="Z383" s="923"/>
      <c r="AA383" s="836"/>
      <c r="AB383" s="816" t="e">
        <f t="shared" si="40"/>
        <v>#DIV/0!</v>
      </c>
      <c r="AC383" s="816" t="e">
        <f t="shared" si="41"/>
        <v>#DIV/0!</v>
      </c>
      <c r="AD383" s="816">
        <f t="shared" si="42"/>
        <v>0</v>
      </c>
      <c r="AE383" s="816">
        <f t="shared" si="43"/>
        <v>0</v>
      </c>
      <c r="AF383" s="826"/>
    </row>
    <row r="384" spans="1:32">
      <c r="A384" s="103" t="s">
        <v>774</v>
      </c>
      <c r="B384" s="40" t="s">
        <v>775</v>
      </c>
      <c r="C384" s="40" t="s">
        <v>1396</v>
      </c>
      <c r="D384" s="40" t="s">
        <v>43</v>
      </c>
      <c r="E384" s="40" t="s">
        <v>44</v>
      </c>
      <c r="F384" s="40" t="s">
        <v>884</v>
      </c>
      <c r="G384" s="40" t="s">
        <v>622</v>
      </c>
      <c r="H384" s="40" t="s">
        <v>1357</v>
      </c>
      <c r="I384" s="40" t="s">
        <v>46</v>
      </c>
      <c r="J384" s="449">
        <v>1960086354.0647774</v>
      </c>
      <c r="K384" s="604" t="s">
        <v>717</v>
      </c>
      <c r="L384" s="604"/>
      <c r="M384" s="604"/>
      <c r="N384" s="604" t="s">
        <v>708</v>
      </c>
      <c r="O384" s="647" t="s">
        <v>728</v>
      </c>
      <c r="P384" s="604"/>
      <c r="Q384" s="434">
        <v>40484453</v>
      </c>
      <c r="R384" s="449">
        <v>39202569</v>
      </c>
      <c r="S384" s="672"/>
      <c r="T384" s="41"/>
      <c r="U384" s="449">
        <v>450912</v>
      </c>
      <c r="V384" s="41">
        <v>756646</v>
      </c>
      <c r="W384" s="672">
        <v>74326</v>
      </c>
      <c r="X384" s="41"/>
      <c r="Y384" s="672"/>
      <c r="Z384" s="456"/>
      <c r="AA384" s="434">
        <f t="shared" ref="AA384:AA395" si="48">+R384+T384+U384+V384+X384</f>
        <v>40410127</v>
      </c>
      <c r="AB384" s="456">
        <f t="shared" si="40"/>
        <v>0.97011744110579012</v>
      </c>
      <c r="AC384" s="456">
        <f t="shared" si="41"/>
        <v>1.1158391063705392E-2</v>
      </c>
      <c r="AD384" s="456">
        <f t="shared" si="42"/>
        <v>2.0000429531435035E-2</v>
      </c>
      <c r="AE384" s="456">
        <f t="shared" si="43"/>
        <v>2.3004700740092911E-4</v>
      </c>
      <c r="AF384" s="720">
        <f t="shared" ref="AF384:AF395" si="49">+(AA384/J384)+Z384</f>
        <v>2.0616503408739367E-2</v>
      </c>
    </row>
    <row r="385" spans="1:32">
      <c r="A385" s="103" t="s">
        <v>776</v>
      </c>
      <c r="B385" s="40" t="s">
        <v>777</v>
      </c>
      <c r="C385" s="40" t="s">
        <v>1396</v>
      </c>
      <c r="D385" s="40" t="s">
        <v>43</v>
      </c>
      <c r="E385" s="40" t="s">
        <v>44</v>
      </c>
      <c r="F385" s="40" t="s">
        <v>884</v>
      </c>
      <c r="G385" s="40" t="s">
        <v>622</v>
      </c>
      <c r="H385" s="40" t="s">
        <v>1357</v>
      </c>
      <c r="I385" s="40" t="s">
        <v>46</v>
      </c>
      <c r="J385" s="449">
        <v>2074088936.5870445</v>
      </c>
      <c r="K385" s="604" t="s">
        <v>717</v>
      </c>
      <c r="L385" s="604"/>
      <c r="M385" s="604"/>
      <c r="N385" s="604" t="s">
        <v>708</v>
      </c>
      <c r="O385" s="647" t="s">
        <v>728</v>
      </c>
      <c r="P385" s="604"/>
      <c r="Q385" s="434">
        <v>42790599.039999999</v>
      </c>
      <c r="R385" s="449">
        <v>41368631</v>
      </c>
      <c r="S385" s="672"/>
      <c r="T385" s="41"/>
      <c r="U385" s="449">
        <v>478710</v>
      </c>
      <c r="V385" s="41">
        <v>803008</v>
      </c>
      <c r="W385" s="672">
        <v>140250.04</v>
      </c>
      <c r="X385" s="41"/>
      <c r="Y385" s="672"/>
      <c r="Z385" s="456"/>
      <c r="AA385" s="434">
        <f t="shared" si="48"/>
        <v>42650349</v>
      </c>
      <c r="AB385" s="456">
        <f t="shared" si="40"/>
        <v>0.96994824122072243</v>
      </c>
      <c r="AC385" s="456">
        <f t="shared" si="41"/>
        <v>1.1224058213450962E-2</v>
      </c>
      <c r="AD385" s="456">
        <f t="shared" si="42"/>
        <v>1.9945447020257929E-2</v>
      </c>
      <c r="AE385" s="456">
        <f t="shared" si="43"/>
        <v>2.3080495322815186E-4</v>
      </c>
      <c r="AF385" s="720">
        <f t="shared" si="49"/>
        <v>2.0563413770569559E-2</v>
      </c>
    </row>
    <row r="386" spans="1:32">
      <c r="A386" s="103" t="s">
        <v>778</v>
      </c>
      <c r="B386" s="40" t="s">
        <v>779</v>
      </c>
      <c r="C386" s="40" t="s">
        <v>1396</v>
      </c>
      <c r="D386" s="40" t="s">
        <v>43</v>
      </c>
      <c r="E386" s="40" t="s">
        <v>44</v>
      </c>
      <c r="F386" s="40" t="s">
        <v>884</v>
      </c>
      <c r="G386" s="40" t="s">
        <v>622</v>
      </c>
      <c r="H386" s="40" t="s">
        <v>1357</v>
      </c>
      <c r="I386" s="40" t="s">
        <v>46</v>
      </c>
      <c r="J386" s="449">
        <v>2676454579.7570848</v>
      </c>
      <c r="K386" s="604" t="s">
        <v>717</v>
      </c>
      <c r="L386" s="604"/>
      <c r="M386" s="604"/>
      <c r="N386" s="604" t="s">
        <v>708</v>
      </c>
      <c r="O386" s="647" t="s">
        <v>728</v>
      </c>
      <c r="P386" s="604"/>
      <c r="Q386" s="434">
        <v>55049343</v>
      </c>
      <c r="R386" s="449">
        <v>53370525</v>
      </c>
      <c r="S386" s="672"/>
      <c r="T386" s="41"/>
      <c r="U386" s="449">
        <v>616179</v>
      </c>
      <c r="V386" s="41">
        <v>988917</v>
      </c>
      <c r="W386" s="672">
        <v>73722</v>
      </c>
      <c r="X386" s="41"/>
      <c r="Y386" s="672"/>
      <c r="Z386" s="456"/>
      <c r="AA386" s="434">
        <f t="shared" si="48"/>
        <v>54975621</v>
      </c>
      <c r="AB386" s="456">
        <f t="shared" si="40"/>
        <v>0.97080349488003059</v>
      </c>
      <c r="AC386" s="456">
        <f t="shared" si="41"/>
        <v>1.1208222641086674E-2</v>
      </c>
      <c r="AD386" s="456">
        <f t="shared" si="42"/>
        <v>1.9940754983723247E-2</v>
      </c>
      <c r="AE386" s="456">
        <f t="shared" si="43"/>
        <v>2.3022210227678305E-4</v>
      </c>
      <c r="AF386" s="720">
        <f t="shared" si="49"/>
        <v>2.0540464768503408E-2</v>
      </c>
    </row>
    <row r="387" spans="1:32">
      <c r="A387" s="103" t="s">
        <v>780</v>
      </c>
      <c r="B387" s="40" t="s">
        <v>781</v>
      </c>
      <c r="C387" s="40" t="s">
        <v>1396</v>
      </c>
      <c r="D387" s="40" t="s">
        <v>553</v>
      </c>
      <c r="E387" s="40" t="s">
        <v>621</v>
      </c>
      <c r="F387" s="40" t="s">
        <v>884</v>
      </c>
      <c r="G387" s="40" t="s">
        <v>622</v>
      </c>
      <c r="H387" s="40" t="s">
        <v>1357</v>
      </c>
      <c r="I387" s="40" t="s">
        <v>46</v>
      </c>
      <c r="J387" s="449">
        <v>2852894008.2186236</v>
      </c>
      <c r="K387" s="604" t="s">
        <v>717</v>
      </c>
      <c r="L387" s="604"/>
      <c r="M387" s="604"/>
      <c r="N387" s="604" t="s">
        <v>708</v>
      </c>
      <c r="O387" s="647" t="s">
        <v>728</v>
      </c>
      <c r="P387" s="604"/>
      <c r="Q387" s="434">
        <v>58983143.859999999</v>
      </c>
      <c r="R387" s="449">
        <v>57078966</v>
      </c>
      <c r="S387" s="672"/>
      <c r="T387" s="41"/>
      <c r="U387" s="449">
        <v>712047</v>
      </c>
      <c r="V387" s="41">
        <v>1063570</v>
      </c>
      <c r="W387" s="672">
        <v>128560.86</v>
      </c>
      <c r="X387" s="41"/>
      <c r="Y387" s="672"/>
      <c r="Z387" s="456"/>
      <c r="AA387" s="434">
        <f t="shared" si="48"/>
        <v>58854583</v>
      </c>
      <c r="AB387" s="456">
        <f t="shared" ref="AB387:AB450" si="50">+R387/AA387</f>
        <v>0.96983043784372747</v>
      </c>
      <c r="AC387" s="456">
        <f t="shared" ref="AC387:AC450" si="51">+U387/AA387</f>
        <v>1.2098412115161872E-2</v>
      </c>
      <c r="AD387" s="456">
        <f t="shared" ref="AD387:AD450" si="52">+R387/J387</f>
        <v>2.0007391033654523E-2</v>
      </c>
      <c r="AE387" s="456">
        <f t="shared" ref="AE387:AE450" si="53">+U387/J387</f>
        <v>2.4958761101840211E-4</v>
      </c>
      <c r="AF387" s="720">
        <f t="shared" si="49"/>
        <v>2.0629782540273693E-2</v>
      </c>
    </row>
    <row r="388" spans="1:32">
      <c r="A388" s="103" t="s">
        <v>782</v>
      </c>
      <c r="B388" s="40" t="s">
        <v>783</v>
      </c>
      <c r="C388" s="40" t="s">
        <v>1396</v>
      </c>
      <c r="D388" s="40" t="s">
        <v>43</v>
      </c>
      <c r="E388" s="40" t="s">
        <v>44</v>
      </c>
      <c r="F388" s="40" t="s">
        <v>884</v>
      </c>
      <c r="G388" s="40" t="s">
        <v>622</v>
      </c>
      <c r="H388" s="40" t="s">
        <v>1357</v>
      </c>
      <c r="I388" s="40" t="s">
        <v>46</v>
      </c>
      <c r="J388" s="449">
        <v>2423528527.1700406</v>
      </c>
      <c r="K388" s="604" t="s">
        <v>717</v>
      </c>
      <c r="L388" s="604"/>
      <c r="M388" s="604"/>
      <c r="N388" s="604" t="s">
        <v>708</v>
      </c>
      <c r="O388" s="647" t="s">
        <v>728</v>
      </c>
      <c r="P388" s="604"/>
      <c r="Q388" s="434">
        <v>44064517.289999999</v>
      </c>
      <c r="R388" s="449">
        <v>42432897</v>
      </c>
      <c r="S388" s="672"/>
      <c r="T388" s="41"/>
      <c r="U388" s="449">
        <v>564167</v>
      </c>
      <c r="V388" s="41">
        <v>925917</v>
      </c>
      <c r="W388" s="672">
        <v>141536.29</v>
      </c>
      <c r="X388" s="41"/>
      <c r="Y388" s="672"/>
      <c r="Z388" s="456"/>
      <c r="AA388" s="434">
        <f t="shared" si="48"/>
        <v>43922981</v>
      </c>
      <c r="AB388" s="456">
        <f t="shared" si="50"/>
        <v>0.96607507127077741</v>
      </c>
      <c r="AC388" s="456">
        <f t="shared" si="51"/>
        <v>1.284446062529317E-2</v>
      </c>
      <c r="AD388" s="456">
        <f t="shared" si="52"/>
        <v>1.7508726026653782E-2</v>
      </c>
      <c r="AE388" s="456">
        <f t="shared" si="53"/>
        <v>2.3278743933696501E-4</v>
      </c>
      <c r="AF388" s="720">
        <f t="shared" si="49"/>
        <v>1.8123566736509167E-2</v>
      </c>
    </row>
    <row r="389" spans="1:32">
      <c r="A389" s="103" t="s">
        <v>784</v>
      </c>
      <c r="B389" s="40" t="s">
        <v>785</v>
      </c>
      <c r="C389" s="40" t="s">
        <v>1396</v>
      </c>
      <c r="D389" s="40" t="s">
        <v>43</v>
      </c>
      <c r="E389" s="40" t="s">
        <v>44</v>
      </c>
      <c r="F389" s="40" t="s">
        <v>884</v>
      </c>
      <c r="G389" s="40" t="s">
        <v>622</v>
      </c>
      <c r="H389" s="40" t="s">
        <v>1357</v>
      </c>
      <c r="I389" s="40" t="s">
        <v>46</v>
      </c>
      <c r="J389" s="449">
        <v>3612184221.1457491</v>
      </c>
      <c r="K389" s="604" t="s">
        <v>717</v>
      </c>
      <c r="L389" s="604"/>
      <c r="M389" s="604"/>
      <c r="N389" s="604" t="s">
        <v>708</v>
      </c>
      <c r="O389" s="647" t="s">
        <v>728</v>
      </c>
      <c r="P389" s="604"/>
      <c r="Q389" s="434">
        <v>74252848</v>
      </c>
      <c r="R389" s="449">
        <v>72104906</v>
      </c>
      <c r="S389" s="672"/>
      <c r="T389" s="41"/>
      <c r="U389" s="449">
        <v>848611</v>
      </c>
      <c r="V389" s="41">
        <v>1223917</v>
      </c>
      <c r="W389" s="672">
        <v>75414</v>
      </c>
      <c r="X389" s="41"/>
      <c r="Y389" s="672"/>
      <c r="Z389" s="456"/>
      <c r="AA389" s="434">
        <f t="shared" si="48"/>
        <v>74177434</v>
      </c>
      <c r="AB389" s="456">
        <f t="shared" si="50"/>
        <v>0.97205985852786436</v>
      </c>
      <c r="AC389" s="456">
        <f t="shared" si="51"/>
        <v>1.1440285195090464E-2</v>
      </c>
      <c r="AD389" s="456">
        <f t="shared" si="52"/>
        <v>1.9961580469206812E-2</v>
      </c>
      <c r="AE389" s="456">
        <f t="shared" si="53"/>
        <v>2.3493015528727076E-4</v>
      </c>
      <c r="AF389" s="720">
        <f t="shared" si="49"/>
        <v>2.0535340796232052E-2</v>
      </c>
    </row>
    <row r="390" spans="1:32">
      <c r="A390" s="103" t="s">
        <v>786</v>
      </c>
      <c r="B390" s="40" t="s">
        <v>787</v>
      </c>
      <c r="C390" s="40" t="s">
        <v>1396</v>
      </c>
      <c r="D390" s="40" t="s">
        <v>43</v>
      </c>
      <c r="E390" s="40" t="s">
        <v>44</v>
      </c>
      <c r="F390" s="40" t="s">
        <v>884</v>
      </c>
      <c r="G390" s="40" t="s">
        <v>622</v>
      </c>
      <c r="H390" s="40" t="s">
        <v>1357</v>
      </c>
      <c r="I390" s="40" t="s">
        <v>46</v>
      </c>
      <c r="J390" s="449">
        <v>1316477051.8744938</v>
      </c>
      <c r="K390" s="604" t="s">
        <v>717</v>
      </c>
      <c r="L390" s="604"/>
      <c r="M390" s="604"/>
      <c r="N390" s="604" t="s">
        <v>708</v>
      </c>
      <c r="O390" s="647" t="s">
        <v>728</v>
      </c>
      <c r="P390" s="604"/>
      <c r="Q390" s="434">
        <v>27224515</v>
      </c>
      <c r="R390" s="449">
        <v>26338720</v>
      </c>
      <c r="S390" s="672"/>
      <c r="T390" s="41"/>
      <c r="U390" s="449">
        <v>304322</v>
      </c>
      <c r="V390" s="41">
        <v>507094</v>
      </c>
      <c r="W390" s="672">
        <v>74379</v>
      </c>
      <c r="X390" s="41"/>
      <c r="Y390" s="672"/>
      <c r="Z390" s="456"/>
      <c r="AA390" s="434">
        <f t="shared" si="48"/>
        <v>27150136</v>
      </c>
      <c r="AB390" s="456">
        <f t="shared" si="50"/>
        <v>0.97011374086671243</v>
      </c>
      <c r="AC390" s="456">
        <f t="shared" si="51"/>
        <v>1.1208857296331776E-2</v>
      </c>
      <c r="AD390" s="456">
        <f t="shared" si="52"/>
        <v>2.0006972368031069E-2</v>
      </c>
      <c r="AE390" s="456">
        <f t="shared" si="53"/>
        <v>2.3116392311334607E-4</v>
      </c>
      <c r="AF390" s="720">
        <f t="shared" si="49"/>
        <v>2.0623326446398516E-2</v>
      </c>
    </row>
    <row r="391" spans="1:32">
      <c r="A391" s="103" t="s">
        <v>788</v>
      </c>
      <c r="B391" s="40" t="s">
        <v>789</v>
      </c>
      <c r="C391" s="40" t="s">
        <v>1396</v>
      </c>
      <c r="D391" s="40" t="s">
        <v>43</v>
      </c>
      <c r="E391" s="40" t="s">
        <v>44</v>
      </c>
      <c r="F391" s="40" t="s">
        <v>884</v>
      </c>
      <c r="G391" s="40" t="s">
        <v>622</v>
      </c>
      <c r="H391" s="40" t="s">
        <v>1357</v>
      </c>
      <c r="I391" s="40" t="s">
        <v>46</v>
      </c>
      <c r="J391" s="449">
        <v>2158415739.3643723</v>
      </c>
      <c r="K391" s="604" t="s">
        <v>717</v>
      </c>
      <c r="L391" s="604"/>
      <c r="M391" s="604"/>
      <c r="N391" s="604" t="s">
        <v>708</v>
      </c>
      <c r="O391" s="647" t="s">
        <v>728</v>
      </c>
      <c r="P391" s="604"/>
      <c r="Q391" s="434">
        <v>44670829.189999998</v>
      </c>
      <c r="R391" s="449">
        <v>43200465</v>
      </c>
      <c r="S391" s="672"/>
      <c r="T391" s="41"/>
      <c r="U391" s="449">
        <v>505619</v>
      </c>
      <c r="V391" s="41">
        <v>831016</v>
      </c>
      <c r="W391" s="672">
        <v>133729.19</v>
      </c>
      <c r="X391" s="41"/>
      <c r="Y391" s="672"/>
      <c r="Z391" s="456"/>
      <c r="AA391" s="434">
        <f t="shared" si="48"/>
        <v>44537100</v>
      </c>
      <c r="AB391" s="456">
        <f t="shared" si="50"/>
        <v>0.96998827943444899</v>
      </c>
      <c r="AC391" s="456">
        <f t="shared" si="51"/>
        <v>1.1352759833936202E-2</v>
      </c>
      <c r="AD391" s="456">
        <f t="shared" si="52"/>
        <v>2.0014895282741973E-2</v>
      </c>
      <c r="AE391" s="456">
        <f t="shared" si="53"/>
        <v>2.342546854059259E-4</v>
      </c>
      <c r="AF391" s="720">
        <f t="shared" si="49"/>
        <v>2.0634161986381568E-2</v>
      </c>
    </row>
    <row r="392" spans="1:32">
      <c r="A392" s="103" t="s">
        <v>790</v>
      </c>
      <c r="B392" s="40" t="s">
        <v>791</v>
      </c>
      <c r="C392" s="40" t="s">
        <v>1396</v>
      </c>
      <c r="D392" s="40" t="s">
        <v>43</v>
      </c>
      <c r="E392" s="40" t="s">
        <v>44</v>
      </c>
      <c r="F392" s="40" t="s">
        <v>55</v>
      </c>
      <c r="G392" s="40" t="s">
        <v>666</v>
      </c>
      <c r="H392" s="40" t="s">
        <v>1358</v>
      </c>
      <c r="I392" s="40" t="s">
        <v>46</v>
      </c>
      <c r="J392" s="449">
        <v>2573292948.8148174</v>
      </c>
      <c r="K392" s="604" t="s">
        <v>717</v>
      </c>
      <c r="L392" s="604">
        <v>0.2</v>
      </c>
      <c r="M392" s="604" t="s">
        <v>108</v>
      </c>
      <c r="N392" s="604" t="s">
        <v>708</v>
      </c>
      <c r="O392" s="647"/>
      <c r="P392" s="604"/>
      <c r="Q392" s="434">
        <v>24214167.278800823</v>
      </c>
      <c r="R392" s="449">
        <v>20777242.710600857</v>
      </c>
      <c r="S392" s="672"/>
      <c r="T392" s="41"/>
      <c r="U392" s="449">
        <v>789779.61150222586</v>
      </c>
      <c r="V392" s="41">
        <v>993424.25082633412</v>
      </c>
      <c r="W392" s="672">
        <v>1653720.7058714048</v>
      </c>
      <c r="X392" s="41"/>
      <c r="Y392" s="672"/>
      <c r="Z392" s="456"/>
      <c r="AA392" s="434">
        <f t="shared" si="48"/>
        <v>22560446.572929416</v>
      </c>
      <c r="AB392" s="456">
        <f t="shared" si="50"/>
        <v>0.92095884021780627</v>
      </c>
      <c r="AC392" s="456">
        <f t="shared" si="51"/>
        <v>3.5007268537400896E-2</v>
      </c>
      <c r="AD392" s="456">
        <f t="shared" si="52"/>
        <v>8.0741847601029024E-3</v>
      </c>
      <c r="AE392" s="456">
        <f t="shared" si="53"/>
        <v>3.069139919984528E-4</v>
      </c>
      <c r="AF392" s="720">
        <f t="shared" si="49"/>
        <v>8.767150503917593E-3</v>
      </c>
    </row>
    <row r="393" spans="1:32">
      <c r="A393" s="103" t="s">
        <v>792</v>
      </c>
      <c r="B393" s="40" t="s">
        <v>793</v>
      </c>
      <c r="C393" s="40" t="s">
        <v>1396</v>
      </c>
      <c r="D393" s="40" t="s">
        <v>43</v>
      </c>
      <c r="E393" s="40" t="s">
        <v>44</v>
      </c>
      <c r="F393" s="40" t="s">
        <v>55</v>
      </c>
      <c r="G393" s="40" t="s">
        <v>666</v>
      </c>
      <c r="H393" s="40" t="s">
        <v>1358</v>
      </c>
      <c r="I393" s="40" t="s">
        <v>69</v>
      </c>
      <c r="J393" s="449">
        <v>387588.91805668001</v>
      </c>
      <c r="K393" s="604" t="s">
        <v>717</v>
      </c>
      <c r="L393" s="604">
        <v>0.2</v>
      </c>
      <c r="M393" s="604" t="s">
        <v>108</v>
      </c>
      <c r="N393" s="604" t="s">
        <v>708</v>
      </c>
      <c r="O393" s="647"/>
      <c r="P393" s="604"/>
      <c r="Q393" s="434">
        <v>3647.2393686395671</v>
      </c>
      <c r="R393" s="449">
        <v>3129.5553843896555</v>
      </c>
      <c r="S393" s="672"/>
      <c r="T393" s="41"/>
      <c r="U393" s="449">
        <v>118.95991542693413</v>
      </c>
      <c r="V393" s="41">
        <v>149.63372457359648</v>
      </c>
      <c r="W393" s="672">
        <v>249.09034424938136</v>
      </c>
      <c r="X393" s="41"/>
      <c r="Y393" s="672"/>
      <c r="Z393" s="456"/>
      <c r="AA393" s="434">
        <f t="shared" si="48"/>
        <v>3398.1490243901858</v>
      </c>
      <c r="AB393" s="456">
        <f t="shared" si="50"/>
        <v>0.92095884021780627</v>
      </c>
      <c r="AC393" s="456">
        <f t="shared" si="51"/>
        <v>3.5007268537400903E-2</v>
      </c>
      <c r="AD393" s="456">
        <f t="shared" si="52"/>
        <v>8.074419155431058E-3</v>
      </c>
      <c r="AE393" s="456">
        <f t="shared" si="53"/>
        <v>3.0692290177795472E-4</v>
      </c>
      <c r="AF393" s="720">
        <f t="shared" si="49"/>
        <v>8.767405016191018E-3</v>
      </c>
    </row>
    <row r="394" spans="1:32">
      <c r="A394" s="103" t="s">
        <v>794</v>
      </c>
      <c r="B394" s="40" t="s">
        <v>795</v>
      </c>
      <c r="C394" s="40" t="s">
        <v>1396</v>
      </c>
      <c r="D394" s="40" t="s">
        <v>43</v>
      </c>
      <c r="E394" s="40" t="s">
        <v>44</v>
      </c>
      <c r="F394" s="40" t="s">
        <v>884</v>
      </c>
      <c r="G394" s="40" t="s">
        <v>97</v>
      </c>
      <c r="H394" s="40" t="s">
        <v>1356</v>
      </c>
      <c r="I394" s="40" t="s">
        <v>46</v>
      </c>
      <c r="J394" s="449">
        <v>2977324263.8128309</v>
      </c>
      <c r="K394" s="604" t="s">
        <v>717</v>
      </c>
      <c r="L394" s="604">
        <v>0.2</v>
      </c>
      <c r="M394" s="604" t="s">
        <v>108</v>
      </c>
      <c r="N394" s="604" t="s">
        <v>708</v>
      </c>
      <c r="O394" s="647"/>
      <c r="P394" s="604"/>
      <c r="Q394" s="434">
        <v>62573226.641633749</v>
      </c>
      <c r="R394" s="449">
        <v>60068660.944478825</v>
      </c>
      <c r="S394" s="672"/>
      <c r="T394" s="41"/>
      <c r="U394" s="449">
        <v>930332.43834129709</v>
      </c>
      <c r="V394" s="41">
        <v>995650.34587393934</v>
      </c>
      <c r="W394" s="672">
        <v>578582.91293969052</v>
      </c>
      <c r="X394" s="41"/>
      <c r="Y394" s="672"/>
      <c r="Z394" s="456"/>
      <c r="AA394" s="434">
        <f t="shared" si="48"/>
        <v>61994643.728694059</v>
      </c>
      <c r="AB394" s="456">
        <f t="shared" si="50"/>
        <v>0.96893307762774028</v>
      </c>
      <c r="AC394" s="456">
        <f t="shared" si="51"/>
        <v>1.500665835604593E-2</v>
      </c>
      <c r="AD394" s="456">
        <f t="shared" si="52"/>
        <v>2.0175384211444103E-2</v>
      </c>
      <c r="AE394" s="456">
        <f t="shared" si="53"/>
        <v>3.1247266199681311E-4</v>
      </c>
      <c r="AF394" s="720">
        <f t="shared" si="49"/>
        <v>2.0822267994854638E-2</v>
      </c>
    </row>
    <row r="395" spans="1:32">
      <c r="A395" s="103" t="s">
        <v>796</v>
      </c>
      <c r="B395" s="40" t="s">
        <v>797</v>
      </c>
      <c r="C395" s="40" t="s">
        <v>1396</v>
      </c>
      <c r="D395" s="40" t="s">
        <v>43</v>
      </c>
      <c r="E395" s="40" t="s">
        <v>44</v>
      </c>
      <c r="F395" s="40" t="s">
        <v>884</v>
      </c>
      <c r="G395" s="40" t="s">
        <v>97</v>
      </c>
      <c r="H395" s="40" t="s">
        <v>1356</v>
      </c>
      <c r="I395" s="40" t="s">
        <v>69</v>
      </c>
      <c r="J395" s="449">
        <v>4520543.4559919052</v>
      </c>
      <c r="K395" s="604" t="s">
        <v>717</v>
      </c>
      <c r="L395" s="604">
        <v>0.2</v>
      </c>
      <c r="M395" s="604" t="s">
        <v>108</v>
      </c>
      <c r="N395" s="604" t="s">
        <v>708</v>
      </c>
      <c r="O395" s="647"/>
      <c r="P395" s="604"/>
      <c r="Q395" s="434">
        <v>95081.98137021088</v>
      </c>
      <c r="R395" s="449">
        <v>91276.21520249809</v>
      </c>
      <c r="S395" s="672"/>
      <c r="T395" s="41"/>
      <c r="U395" s="449">
        <v>1413.6693330053351</v>
      </c>
      <c r="V395" s="41">
        <v>1512.9219431149054</v>
      </c>
      <c r="W395" s="672">
        <v>879.17489159254319</v>
      </c>
      <c r="X395" s="41"/>
      <c r="Y395" s="672"/>
      <c r="Z395" s="456"/>
      <c r="AA395" s="434">
        <f t="shared" si="48"/>
        <v>94202.806478618339</v>
      </c>
      <c r="AB395" s="456">
        <f t="shared" si="50"/>
        <v>0.96893307762774017</v>
      </c>
      <c r="AC395" s="456">
        <f t="shared" si="51"/>
        <v>1.5006658356045926E-2</v>
      </c>
      <c r="AD395" s="456">
        <f t="shared" si="52"/>
        <v>2.0191425232626174E-2</v>
      </c>
      <c r="AE395" s="456">
        <f t="shared" si="53"/>
        <v>3.1272110240009748E-4</v>
      </c>
      <c r="AF395" s="720">
        <f t="shared" si="49"/>
        <v>2.0838823339648264E-2</v>
      </c>
    </row>
    <row r="396" spans="1:32">
      <c r="A396" s="662" t="s">
        <v>799</v>
      </c>
      <c r="B396" s="628" t="s">
        <v>800</v>
      </c>
      <c r="C396" s="628" t="s">
        <v>1396</v>
      </c>
      <c r="D396" s="626" t="s">
        <v>43</v>
      </c>
      <c r="E396" s="628" t="s">
        <v>621</v>
      </c>
      <c r="F396" s="628" t="s">
        <v>884</v>
      </c>
      <c r="G396" s="626" t="s">
        <v>622</v>
      </c>
      <c r="H396" s="626" t="s">
        <v>1358</v>
      </c>
      <c r="I396" s="626" t="s">
        <v>46</v>
      </c>
      <c r="J396" s="627">
        <v>3595042316.6842103</v>
      </c>
      <c r="K396" s="663" t="s">
        <v>727</v>
      </c>
      <c r="L396" s="663"/>
      <c r="M396" s="663"/>
      <c r="N396" s="663" t="s">
        <v>708</v>
      </c>
      <c r="O396" s="664" t="s">
        <v>728</v>
      </c>
      <c r="P396" s="663"/>
      <c r="Q396" s="921">
        <v>80945175</v>
      </c>
      <c r="R396" s="928">
        <v>78831753</v>
      </c>
      <c r="S396" s="919"/>
      <c r="T396" s="928"/>
      <c r="U396" s="928">
        <v>821122</v>
      </c>
      <c r="V396" s="928">
        <v>1218917</v>
      </c>
      <c r="W396" s="919">
        <v>73383</v>
      </c>
      <c r="X396" s="928"/>
      <c r="Y396" s="919"/>
      <c r="Z396" s="830"/>
      <c r="AA396" s="921">
        <f>+R396+T397+U396+V396+X397</f>
        <v>80871792</v>
      </c>
      <c r="AB396" s="830">
        <f t="shared" si="50"/>
        <v>0.97477440588926234</v>
      </c>
      <c r="AC396" s="830">
        <f t="shared" si="51"/>
        <v>1.0153379561565793E-2</v>
      </c>
      <c r="AD396" s="830">
        <f t="shared" si="52"/>
        <v>2.1927906838300676E-2</v>
      </c>
      <c r="AE396" s="830">
        <f t="shared" si="53"/>
        <v>2.2840398739933042E-4</v>
      </c>
      <c r="AF396" s="825">
        <f>+(AA396/J397)+Z397</f>
        <v>2.249536580548234E-2</v>
      </c>
    </row>
    <row r="397" spans="1:32">
      <c r="A397" s="665" t="s">
        <v>801</v>
      </c>
      <c r="B397" s="628" t="s">
        <v>800</v>
      </c>
      <c r="C397" s="628" t="s">
        <v>1396</v>
      </c>
      <c r="D397" s="628" t="s">
        <v>43</v>
      </c>
      <c r="E397" s="628" t="s">
        <v>44</v>
      </c>
      <c r="F397" s="628" t="s">
        <v>1348</v>
      </c>
      <c r="G397" s="628" t="s">
        <v>641</v>
      </c>
      <c r="H397" s="628" t="s">
        <v>45</v>
      </c>
      <c r="I397" s="628" t="s">
        <v>46</v>
      </c>
      <c r="J397" s="627">
        <v>3595042316.6842103</v>
      </c>
      <c r="K397" s="663" t="s">
        <v>734</v>
      </c>
      <c r="L397" s="663"/>
      <c r="M397" s="663"/>
      <c r="N397" s="663" t="s">
        <v>708</v>
      </c>
      <c r="O397" s="664" t="s">
        <v>728</v>
      </c>
      <c r="P397" s="663"/>
      <c r="Q397" s="916"/>
      <c r="R397" s="916"/>
      <c r="S397" s="916"/>
      <c r="T397" s="916"/>
      <c r="U397" s="916"/>
      <c r="V397" s="916"/>
      <c r="W397" s="916"/>
      <c r="X397" s="916"/>
      <c r="Y397" s="916"/>
      <c r="Z397" s="923"/>
      <c r="AA397" s="836"/>
      <c r="AB397" s="816" t="e">
        <f t="shared" si="50"/>
        <v>#DIV/0!</v>
      </c>
      <c r="AC397" s="816" t="e">
        <f t="shared" si="51"/>
        <v>#DIV/0!</v>
      </c>
      <c r="AD397" s="816">
        <f t="shared" si="52"/>
        <v>0</v>
      </c>
      <c r="AE397" s="816">
        <f t="shared" si="53"/>
        <v>0</v>
      </c>
      <c r="AF397" s="826"/>
    </row>
    <row r="398" spans="1:32">
      <c r="A398" s="666" t="s">
        <v>802</v>
      </c>
      <c r="B398" s="625" t="s">
        <v>803</v>
      </c>
      <c r="C398" s="625" t="s">
        <v>1396</v>
      </c>
      <c r="D398" s="623" t="s">
        <v>43</v>
      </c>
      <c r="E398" s="625" t="s">
        <v>621</v>
      </c>
      <c r="F398" s="625" t="s">
        <v>884</v>
      </c>
      <c r="G398" s="623" t="s">
        <v>622</v>
      </c>
      <c r="H398" s="623" t="s">
        <v>1358</v>
      </c>
      <c r="I398" s="623" t="s">
        <v>46</v>
      </c>
      <c r="J398" s="624">
        <v>2418578414.0080972</v>
      </c>
      <c r="K398" s="667" t="s">
        <v>727</v>
      </c>
      <c r="L398" s="667"/>
      <c r="M398" s="667"/>
      <c r="N398" s="667" t="s">
        <v>708</v>
      </c>
      <c r="O398" s="668" t="s">
        <v>728</v>
      </c>
      <c r="P398" s="667"/>
      <c r="Q398" s="921">
        <v>51863637</v>
      </c>
      <c r="R398" s="929">
        <v>50312907</v>
      </c>
      <c r="S398" s="919"/>
      <c r="T398" s="929"/>
      <c r="U398" s="929">
        <v>551694</v>
      </c>
      <c r="V398" s="929">
        <v>924917</v>
      </c>
      <c r="W398" s="919">
        <v>74119</v>
      </c>
      <c r="X398" s="929"/>
      <c r="Y398" s="919"/>
      <c r="Z398" s="831"/>
      <c r="AA398" s="921">
        <f>+R398+T399+U398+V398+X399</f>
        <v>51789518</v>
      </c>
      <c r="AB398" s="831">
        <f t="shared" si="50"/>
        <v>0.9714882266330418</v>
      </c>
      <c r="AC398" s="831">
        <f t="shared" si="51"/>
        <v>1.0652618933429734E-2</v>
      </c>
      <c r="AD398" s="831">
        <f t="shared" si="52"/>
        <v>2.0802677601269436E-2</v>
      </c>
      <c r="AE398" s="831">
        <f t="shared" si="53"/>
        <v>2.2810672451414386E-4</v>
      </c>
      <c r="AF398" s="825">
        <f>+(AA398/J399)+Z399</f>
        <v>2.1413206080084783E-2</v>
      </c>
    </row>
    <row r="399" spans="1:32">
      <c r="A399" s="639" t="s">
        <v>804</v>
      </c>
      <c r="B399" s="625" t="s">
        <v>803</v>
      </c>
      <c r="C399" s="625" t="s">
        <v>1396</v>
      </c>
      <c r="D399" s="625" t="s">
        <v>43</v>
      </c>
      <c r="E399" s="625" t="s">
        <v>44</v>
      </c>
      <c r="F399" s="625" t="s">
        <v>1348</v>
      </c>
      <c r="G399" s="625" t="s">
        <v>641</v>
      </c>
      <c r="H399" s="625" t="s">
        <v>45</v>
      </c>
      <c r="I399" s="625" t="s">
        <v>46</v>
      </c>
      <c r="J399" s="624">
        <v>2418578414.0080972</v>
      </c>
      <c r="K399" s="667" t="s">
        <v>734</v>
      </c>
      <c r="L399" s="667"/>
      <c r="M399" s="667"/>
      <c r="N399" s="667" t="s">
        <v>708</v>
      </c>
      <c r="O399" s="668" t="s">
        <v>728</v>
      </c>
      <c r="P399" s="667"/>
      <c r="Q399" s="916"/>
      <c r="R399" s="916"/>
      <c r="S399" s="916"/>
      <c r="T399" s="916"/>
      <c r="U399" s="916"/>
      <c r="V399" s="916"/>
      <c r="W399" s="916"/>
      <c r="X399" s="916"/>
      <c r="Y399" s="916"/>
      <c r="Z399" s="923"/>
      <c r="AA399" s="836"/>
      <c r="AB399" s="816" t="e">
        <f t="shared" si="50"/>
        <v>#DIV/0!</v>
      </c>
      <c r="AC399" s="816" t="e">
        <f t="shared" si="51"/>
        <v>#DIV/0!</v>
      </c>
      <c r="AD399" s="816">
        <f t="shared" si="52"/>
        <v>0</v>
      </c>
      <c r="AE399" s="816">
        <f t="shared" si="53"/>
        <v>0</v>
      </c>
      <c r="AF399" s="826"/>
    </row>
    <row r="400" spans="1:32">
      <c r="A400" s="103" t="s">
        <v>805</v>
      </c>
      <c r="B400" s="40" t="s">
        <v>806</v>
      </c>
      <c r="C400" s="40" t="s">
        <v>1396</v>
      </c>
      <c r="D400" s="40" t="s">
        <v>43</v>
      </c>
      <c r="E400" s="40" t="s">
        <v>44</v>
      </c>
      <c r="F400" s="40" t="s">
        <v>884</v>
      </c>
      <c r="G400" s="40" t="s">
        <v>622</v>
      </c>
      <c r="H400" s="40" t="s">
        <v>1358</v>
      </c>
      <c r="I400" s="40" t="s">
        <v>46</v>
      </c>
      <c r="J400" s="449">
        <v>1049063777.680162</v>
      </c>
      <c r="K400" s="604" t="s">
        <v>717</v>
      </c>
      <c r="L400" s="604"/>
      <c r="M400" s="604"/>
      <c r="N400" s="604" t="s">
        <v>708</v>
      </c>
      <c r="O400" s="647"/>
      <c r="P400" s="604"/>
      <c r="Q400" s="434">
        <v>16603352</v>
      </c>
      <c r="R400" s="449">
        <v>15877623</v>
      </c>
      <c r="S400" s="672"/>
      <c r="T400" s="41"/>
      <c r="U400" s="449">
        <v>241828</v>
      </c>
      <c r="V400" s="41">
        <v>408314</v>
      </c>
      <c r="W400" s="672">
        <v>75587</v>
      </c>
      <c r="X400" s="41"/>
      <c r="Y400" s="672"/>
      <c r="Z400" s="456"/>
      <c r="AA400" s="434">
        <f t="shared" ref="AA400:AA431" si="54">+R400+T400+U400+V400+X400</f>
        <v>16527765</v>
      </c>
      <c r="AB400" s="456">
        <f t="shared" si="50"/>
        <v>0.96066364689962613</v>
      </c>
      <c r="AC400" s="456">
        <f t="shared" si="51"/>
        <v>1.4631621395875365E-2</v>
      </c>
      <c r="AD400" s="456">
        <f t="shared" si="52"/>
        <v>1.5135040726609438E-2</v>
      </c>
      <c r="AE400" s="456">
        <f t="shared" si="53"/>
        <v>2.3051792002080584E-4</v>
      </c>
      <c r="AF400" s="720">
        <f t="shared" ref="AF400:AF431" si="55">+(AA400/J400)+Z400</f>
        <v>1.5754776164847221E-2</v>
      </c>
    </row>
    <row r="401" spans="1:32">
      <c r="A401" s="103" t="s">
        <v>807</v>
      </c>
      <c r="B401" s="40" t="s">
        <v>808</v>
      </c>
      <c r="C401" s="40" t="s">
        <v>1396</v>
      </c>
      <c r="D401" s="40" t="s">
        <v>43</v>
      </c>
      <c r="E401" s="40" t="s">
        <v>44</v>
      </c>
      <c r="F401" s="40" t="s">
        <v>884</v>
      </c>
      <c r="G401" s="40" t="s">
        <v>58</v>
      </c>
      <c r="H401" s="40" t="s">
        <v>1358</v>
      </c>
      <c r="I401" s="40" t="s">
        <v>69</v>
      </c>
      <c r="J401" s="449">
        <v>214172.81574898792</v>
      </c>
      <c r="K401" s="604" t="s">
        <v>717</v>
      </c>
      <c r="L401" s="604"/>
      <c r="M401" s="604"/>
      <c r="N401" s="604" t="s">
        <v>708</v>
      </c>
      <c r="O401" s="647"/>
      <c r="P401" s="604"/>
      <c r="Q401" s="434">
        <v>5174.5164546543019</v>
      </c>
      <c r="R401" s="449">
        <v>4319.4808067113136</v>
      </c>
      <c r="S401" s="672"/>
      <c r="T401" s="41"/>
      <c r="U401" s="449">
        <v>64.01700342658998</v>
      </c>
      <c r="V401" s="41">
        <v>84.303691468643194</v>
      </c>
      <c r="W401" s="672">
        <v>706.71495304775431</v>
      </c>
      <c r="X401" s="41"/>
      <c r="Y401" s="672"/>
      <c r="Z401" s="456"/>
      <c r="AA401" s="434">
        <f t="shared" si="54"/>
        <v>4467.8015016065474</v>
      </c>
      <c r="AB401" s="456">
        <f t="shared" si="50"/>
        <v>0.96680230873240447</v>
      </c>
      <c r="AC401" s="456">
        <f t="shared" si="51"/>
        <v>1.4328524533502781E-2</v>
      </c>
      <c r="AD401" s="456">
        <f t="shared" si="52"/>
        <v>2.0168202914107345E-2</v>
      </c>
      <c r="AE401" s="456">
        <f t="shared" si="53"/>
        <v>2.9890349623837585E-4</v>
      </c>
      <c r="AF401" s="720">
        <f t="shared" si="55"/>
        <v>2.0860731022198646E-2</v>
      </c>
    </row>
    <row r="402" spans="1:32">
      <c r="A402" s="103" t="s">
        <v>809</v>
      </c>
      <c r="B402" s="40" t="s">
        <v>810</v>
      </c>
      <c r="C402" s="40" t="s">
        <v>1396</v>
      </c>
      <c r="D402" s="40" t="s">
        <v>43</v>
      </c>
      <c r="E402" s="40" t="s">
        <v>44</v>
      </c>
      <c r="F402" s="40" t="s">
        <v>884</v>
      </c>
      <c r="G402" s="40" t="s">
        <v>58</v>
      </c>
      <c r="H402" s="40" t="s">
        <v>1358</v>
      </c>
      <c r="I402" s="40" t="s">
        <v>46</v>
      </c>
      <c r="J402" s="449">
        <v>1054356522.3604866</v>
      </c>
      <c r="K402" s="604" t="s">
        <v>717</v>
      </c>
      <c r="L402" s="604"/>
      <c r="M402" s="604"/>
      <c r="N402" s="604" t="s">
        <v>708</v>
      </c>
      <c r="O402" s="647"/>
      <c r="P402" s="604"/>
      <c r="Q402" s="434">
        <v>25431628.038958397</v>
      </c>
      <c r="R402" s="449">
        <v>21229312.953270152</v>
      </c>
      <c r="S402" s="672"/>
      <c r="T402" s="41"/>
      <c r="U402" s="449">
        <v>314629.71150654671</v>
      </c>
      <c r="V402" s="41">
        <v>414334.39095805888</v>
      </c>
      <c r="W402" s="672">
        <v>3473350.9832236427</v>
      </c>
      <c r="X402" s="41"/>
      <c r="Y402" s="672"/>
      <c r="Z402" s="456"/>
      <c r="AA402" s="434">
        <f t="shared" si="54"/>
        <v>21958277.055734757</v>
      </c>
      <c r="AB402" s="456">
        <f t="shared" si="50"/>
        <v>0.96680230873240469</v>
      </c>
      <c r="AC402" s="456">
        <f t="shared" si="51"/>
        <v>1.4328524533502782E-2</v>
      </c>
      <c r="AD402" s="456">
        <f t="shared" si="52"/>
        <v>2.0134852398638464E-2</v>
      </c>
      <c r="AE402" s="456">
        <f t="shared" si="53"/>
        <v>2.9840922385736821E-4</v>
      </c>
      <c r="AF402" s="720">
        <f t="shared" si="55"/>
        <v>2.0826235329369145E-2</v>
      </c>
    </row>
    <row r="403" spans="1:32">
      <c r="A403" s="103" t="s">
        <v>811</v>
      </c>
      <c r="B403" s="40" t="s">
        <v>812</v>
      </c>
      <c r="C403" s="40" t="s">
        <v>1396</v>
      </c>
      <c r="D403" s="40" t="s">
        <v>43</v>
      </c>
      <c r="E403" s="40" t="s">
        <v>44</v>
      </c>
      <c r="F403" s="40" t="s">
        <v>1348</v>
      </c>
      <c r="G403" s="40" t="s">
        <v>58</v>
      </c>
      <c r="H403" s="40" t="s">
        <v>1359</v>
      </c>
      <c r="I403" s="40" t="s">
        <v>69</v>
      </c>
      <c r="J403" s="449">
        <v>1543500.1902834007</v>
      </c>
      <c r="K403" s="604" t="s">
        <v>813</v>
      </c>
      <c r="L403" s="604"/>
      <c r="M403" s="604"/>
      <c r="N403" s="604" t="s">
        <v>708</v>
      </c>
      <c r="O403" s="647"/>
      <c r="P403" s="604"/>
      <c r="Q403" s="434">
        <v>33024.93752315516</v>
      </c>
      <c r="R403" s="449">
        <v>30824</v>
      </c>
      <c r="S403" s="672"/>
      <c r="T403" s="41"/>
      <c r="U403" s="449">
        <v>266</v>
      </c>
      <c r="V403" s="41">
        <v>386.11946381058232</v>
      </c>
      <c r="W403" s="672">
        <v>1548.8180593445823</v>
      </c>
      <c r="X403" s="41"/>
      <c r="Y403" s="672"/>
      <c r="Z403" s="456"/>
      <c r="AA403" s="434">
        <f t="shared" si="54"/>
        <v>31476.119463810581</v>
      </c>
      <c r="AB403" s="456">
        <f t="shared" si="50"/>
        <v>0.97928208829680075</v>
      </c>
      <c r="AC403" s="456">
        <f t="shared" si="51"/>
        <v>8.4508511382996691E-3</v>
      </c>
      <c r="AD403" s="456">
        <f t="shared" si="52"/>
        <v>1.9970195140915682E-2</v>
      </c>
      <c r="AE403" s="456">
        <f t="shared" si="53"/>
        <v>1.7233557966141874E-4</v>
      </c>
      <c r="AF403" s="720">
        <f t="shared" si="55"/>
        <v>2.0392689072510756E-2</v>
      </c>
    </row>
    <row r="404" spans="1:32">
      <c r="A404" s="103" t="s">
        <v>814</v>
      </c>
      <c r="B404" s="40" t="s">
        <v>815</v>
      </c>
      <c r="C404" s="40" t="s">
        <v>1396</v>
      </c>
      <c r="D404" s="40" t="s">
        <v>43</v>
      </c>
      <c r="E404" s="40" t="s">
        <v>44</v>
      </c>
      <c r="F404" s="40" t="s">
        <v>1348</v>
      </c>
      <c r="G404" s="40" t="s">
        <v>48</v>
      </c>
      <c r="H404" s="40" t="s">
        <v>45</v>
      </c>
      <c r="I404" s="40" t="s">
        <v>46</v>
      </c>
      <c r="J404" s="449">
        <v>8940253936.4112911</v>
      </c>
      <c r="K404" s="604" t="s">
        <v>734</v>
      </c>
      <c r="L404" s="604"/>
      <c r="M404" s="604"/>
      <c r="N404" s="604" t="s">
        <v>708</v>
      </c>
      <c r="O404" s="647"/>
      <c r="P404" s="604"/>
      <c r="Q404" s="434">
        <v>140735551.34</v>
      </c>
      <c r="R404" s="449">
        <v>134956534</v>
      </c>
      <c r="S404" s="672"/>
      <c r="T404" s="41"/>
      <c r="U404" s="449">
        <v>2641383</v>
      </c>
      <c r="V404" s="41">
        <v>2820937</v>
      </c>
      <c r="W404" s="672">
        <v>316697.33999999997</v>
      </c>
      <c r="X404" s="41"/>
      <c r="Y404" s="672"/>
      <c r="Z404" s="456"/>
      <c r="AA404" s="434">
        <f t="shared" si="54"/>
        <v>140418854</v>
      </c>
      <c r="AB404" s="456">
        <f t="shared" si="50"/>
        <v>0.96109981071345307</v>
      </c>
      <c r="AC404" s="456">
        <f t="shared" si="51"/>
        <v>1.8810743178405372E-2</v>
      </c>
      <c r="AD404" s="456">
        <f t="shared" si="52"/>
        <v>1.5095380395220959E-2</v>
      </c>
      <c r="AE404" s="456">
        <f t="shared" si="53"/>
        <v>2.9544831934161795E-4</v>
      </c>
      <c r="AF404" s="720">
        <f t="shared" si="55"/>
        <v>1.5706360803479095E-2</v>
      </c>
    </row>
    <row r="405" spans="1:32">
      <c r="A405" s="103" t="s">
        <v>816</v>
      </c>
      <c r="B405" s="40" t="s">
        <v>817</v>
      </c>
      <c r="C405" s="40" t="s">
        <v>1396</v>
      </c>
      <c r="D405" s="40" t="s">
        <v>43</v>
      </c>
      <c r="E405" s="40" t="s">
        <v>44</v>
      </c>
      <c r="F405" s="40" t="s">
        <v>55</v>
      </c>
      <c r="G405" s="40" t="s">
        <v>58</v>
      </c>
      <c r="H405" s="40" t="s">
        <v>1358</v>
      </c>
      <c r="I405" s="40" t="s">
        <v>46</v>
      </c>
      <c r="J405" s="449">
        <v>8136788047.3334808</v>
      </c>
      <c r="K405" s="604" t="s">
        <v>717</v>
      </c>
      <c r="L405" s="604"/>
      <c r="M405" s="604"/>
      <c r="N405" s="604" t="s">
        <v>708</v>
      </c>
      <c r="O405" s="647"/>
      <c r="P405" s="604"/>
      <c r="Q405" s="434">
        <v>106907027.07601996</v>
      </c>
      <c r="R405" s="449">
        <v>101885742.98630199</v>
      </c>
      <c r="S405" s="672"/>
      <c r="T405" s="41"/>
      <c r="U405" s="449">
        <v>2161917.9778972822</v>
      </c>
      <c r="V405" s="41">
        <v>2533593.2789914184</v>
      </c>
      <c r="W405" s="672">
        <v>325772.83282926987</v>
      </c>
      <c r="X405" s="41"/>
      <c r="Y405" s="672"/>
      <c r="Z405" s="456">
        <v>3.4681900000000003E-3</v>
      </c>
      <c r="AA405" s="434">
        <f t="shared" si="54"/>
        <v>106581254.24319069</v>
      </c>
      <c r="AB405" s="456">
        <f t="shared" si="50"/>
        <v>0.95594430474448377</v>
      </c>
      <c r="AC405" s="456">
        <f t="shared" si="51"/>
        <v>2.0284223461701324E-2</v>
      </c>
      <c r="AD405" s="456">
        <f t="shared" si="52"/>
        <v>1.2521616932087977E-2</v>
      </c>
      <c r="AE405" s="456">
        <f t="shared" si="53"/>
        <v>2.6569673012507281E-4</v>
      </c>
      <c r="AF405" s="720">
        <f t="shared" si="55"/>
        <v>1.6566878772914344E-2</v>
      </c>
    </row>
    <row r="406" spans="1:32">
      <c r="A406" s="103" t="s">
        <v>818</v>
      </c>
      <c r="B406" s="40" t="s">
        <v>819</v>
      </c>
      <c r="C406" s="40" t="s">
        <v>1396</v>
      </c>
      <c r="D406" s="40" t="s">
        <v>43</v>
      </c>
      <c r="E406" s="40" t="s">
        <v>44</v>
      </c>
      <c r="F406" s="40" t="s">
        <v>55</v>
      </c>
      <c r="G406" s="40" t="s">
        <v>58</v>
      </c>
      <c r="H406" s="40" t="s">
        <v>1358</v>
      </c>
      <c r="I406" s="40" t="s">
        <v>69</v>
      </c>
      <c r="J406" s="449">
        <v>646703.95441295556</v>
      </c>
      <c r="K406" s="604" t="s">
        <v>717</v>
      </c>
      <c r="L406" s="604"/>
      <c r="M406" s="604"/>
      <c r="N406" s="604" t="s">
        <v>708</v>
      </c>
      <c r="O406" s="647"/>
      <c r="P406" s="604"/>
      <c r="Q406" s="434">
        <v>8498.6696785755303</v>
      </c>
      <c r="R406" s="449">
        <v>8099.4982114795948</v>
      </c>
      <c r="S406" s="672"/>
      <c r="T406" s="41"/>
      <c r="U406" s="449">
        <v>171.86360213026867</v>
      </c>
      <c r="V406" s="41">
        <v>201.41026242078482</v>
      </c>
      <c r="W406" s="672">
        <v>25.897602544882641</v>
      </c>
      <c r="X406" s="41"/>
      <c r="Y406" s="672"/>
      <c r="Z406" s="456">
        <v>3.4681900000000003E-3</v>
      </c>
      <c r="AA406" s="434">
        <f t="shared" si="54"/>
        <v>8472.7720760306474</v>
      </c>
      <c r="AB406" s="456">
        <f t="shared" si="50"/>
        <v>0.95594430474448389</v>
      </c>
      <c r="AC406" s="456">
        <f t="shared" si="51"/>
        <v>2.028422346170132E-2</v>
      </c>
      <c r="AD406" s="456">
        <f t="shared" si="52"/>
        <v>1.2524275066219288E-2</v>
      </c>
      <c r="AE406" s="456">
        <f t="shared" si="53"/>
        <v>2.6575313318793228E-4</v>
      </c>
      <c r="AF406" s="720">
        <f t="shared" si="55"/>
        <v>1.6569659409943212E-2</v>
      </c>
    </row>
    <row r="407" spans="1:32">
      <c r="A407" s="103" t="s">
        <v>820</v>
      </c>
      <c r="B407" s="40" t="s">
        <v>821</v>
      </c>
      <c r="C407" s="40" t="s">
        <v>1396</v>
      </c>
      <c r="D407" s="40" t="s">
        <v>43</v>
      </c>
      <c r="E407" s="40" t="s">
        <v>44</v>
      </c>
      <c r="F407" s="40" t="s">
        <v>1348</v>
      </c>
      <c r="G407" s="40" t="s">
        <v>81</v>
      </c>
      <c r="H407" s="40" t="s">
        <v>45</v>
      </c>
      <c r="I407" s="40" t="s">
        <v>46</v>
      </c>
      <c r="J407" s="449">
        <v>230801813522.00403</v>
      </c>
      <c r="K407" s="604" t="s">
        <v>734</v>
      </c>
      <c r="L407" s="604"/>
      <c r="M407" s="604"/>
      <c r="N407" s="604" t="s">
        <v>708</v>
      </c>
      <c r="O407" s="647"/>
      <c r="P407" s="604"/>
      <c r="Q407" s="434">
        <v>3605357969.4699998</v>
      </c>
      <c r="R407" s="449">
        <v>3476917576</v>
      </c>
      <c r="S407" s="672"/>
      <c r="T407" s="41"/>
      <c r="U407" s="449">
        <v>69343912</v>
      </c>
      <c r="V407" s="41">
        <v>58783888</v>
      </c>
      <c r="W407" s="672">
        <v>312593.46999999997</v>
      </c>
      <c r="X407" s="41"/>
      <c r="Y407" s="672"/>
      <c r="Z407" s="456"/>
      <c r="AA407" s="434">
        <f t="shared" si="54"/>
        <v>3605045376</v>
      </c>
      <c r="AB407" s="456">
        <f t="shared" si="50"/>
        <v>0.96445875526200309</v>
      </c>
      <c r="AC407" s="456">
        <f t="shared" si="51"/>
        <v>1.9235239717548563E-2</v>
      </c>
      <c r="AD407" s="456">
        <f t="shared" si="52"/>
        <v>1.5064515841287009E-2</v>
      </c>
      <c r="AE407" s="456">
        <f t="shared" si="53"/>
        <v>3.0044786451987275E-4</v>
      </c>
      <c r="AF407" s="720">
        <f t="shared" si="55"/>
        <v>1.561965792637199E-2</v>
      </c>
    </row>
    <row r="408" spans="1:32">
      <c r="A408" s="103" t="s">
        <v>822</v>
      </c>
      <c r="B408" s="40" t="s">
        <v>823</v>
      </c>
      <c r="C408" s="40" t="s">
        <v>1396</v>
      </c>
      <c r="D408" s="40" t="s">
        <v>43</v>
      </c>
      <c r="E408" s="40" t="s">
        <v>44</v>
      </c>
      <c r="F408" s="40" t="s">
        <v>1348</v>
      </c>
      <c r="G408" s="40" t="s">
        <v>58</v>
      </c>
      <c r="H408" s="40" t="s">
        <v>1360</v>
      </c>
      <c r="I408" s="40" t="s">
        <v>46</v>
      </c>
      <c r="J408" s="449">
        <v>1611636497.0769231</v>
      </c>
      <c r="K408" s="604" t="s">
        <v>717</v>
      </c>
      <c r="L408" s="604">
        <v>0.2</v>
      </c>
      <c r="M408" s="604" t="s">
        <v>108</v>
      </c>
      <c r="N408" s="604" t="s">
        <v>708</v>
      </c>
      <c r="O408" s="647"/>
      <c r="P408" s="604"/>
      <c r="Q408" s="434">
        <v>38806633.153638765</v>
      </c>
      <c r="R408" s="449">
        <v>24334273.284558903</v>
      </c>
      <c r="S408" s="672">
        <v>12081163.898354091</v>
      </c>
      <c r="T408" s="41"/>
      <c r="U408" s="449">
        <v>401211.46627906751</v>
      </c>
      <c r="V408" s="41">
        <v>476596.43863249326</v>
      </c>
      <c r="W408" s="672">
        <v>1513388.0658142201</v>
      </c>
      <c r="X408" s="41"/>
      <c r="Y408" s="672"/>
      <c r="Z408" s="456"/>
      <c r="AA408" s="434">
        <f t="shared" si="54"/>
        <v>25212081.189470463</v>
      </c>
      <c r="AB408" s="456">
        <f t="shared" si="50"/>
        <v>0.96518304465566429</v>
      </c>
      <c r="AC408" s="456">
        <f t="shared" si="51"/>
        <v>1.5913460823163972E-2</v>
      </c>
      <c r="AD408" s="456">
        <f t="shared" si="52"/>
        <v>1.5099107850123E-2</v>
      </c>
      <c r="AE408" s="456">
        <f t="shared" si="53"/>
        <v>2.4894662475487348E-4</v>
      </c>
      <c r="AF408" s="720">
        <f t="shared" si="55"/>
        <v>1.5643776518587425E-2</v>
      </c>
    </row>
    <row r="409" spans="1:32">
      <c r="A409" s="103" t="s">
        <v>824</v>
      </c>
      <c r="B409" s="40" t="s">
        <v>825</v>
      </c>
      <c r="C409" s="40" t="s">
        <v>1396</v>
      </c>
      <c r="D409" s="40" t="s">
        <v>43</v>
      </c>
      <c r="E409" s="40" t="s">
        <v>44</v>
      </c>
      <c r="F409" s="40" t="s">
        <v>1348</v>
      </c>
      <c r="G409" s="40" t="s">
        <v>58</v>
      </c>
      <c r="H409" s="40" t="s">
        <v>1360</v>
      </c>
      <c r="I409" s="40" t="s">
        <v>46</v>
      </c>
      <c r="J409" s="449">
        <v>5255861288.4534416</v>
      </c>
      <c r="K409" s="604" t="s">
        <v>798</v>
      </c>
      <c r="L409" s="604">
        <v>0.2</v>
      </c>
      <c r="M409" s="604" t="s">
        <v>108</v>
      </c>
      <c r="N409" s="604" t="s">
        <v>708</v>
      </c>
      <c r="O409" s="647"/>
      <c r="P409" s="604"/>
      <c r="Q409" s="434">
        <v>89195153.271331921</v>
      </c>
      <c r="R409" s="449">
        <v>41997962.014851309</v>
      </c>
      <c r="S409" s="672">
        <v>39399034.315732449</v>
      </c>
      <c r="T409" s="41"/>
      <c r="U409" s="449">
        <v>1308428.9279402846</v>
      </c>
      <c r="V409" s="41">
        <v>1554274.0416753776</v>
      </c>
      <c r="W409" s="672">
        <v>4935453.9711325113</v>
      </c>
      <c r="X409" s="41"/>
      <c r="Y409" s="672"/>
      <c r="Z409" s="456"/>
      <c r="AA409" s="434">
        <f t="shared" si="54"/>
        <v>44860664.98446697</v>
      </c>
      <c r="AB409" s="456">
        <f t="shared" si="50"/>
        <v>0.93618679146626849</v>
      </c>
      <c r="AC409" s="456">
        <f t="shared" si="51"/>
        <v>2.9166507638558832E-2</v>
      </c>
      <c r="AD409" s="456">
        <f t="shared" si="52"/>
        <v>7.9906907184016229E-3</v>
      </c>
      <c r="AE409" s="456">
        <f t="shared" si="53"/>
        <v>2.4894662475487343E-4</v>
      </c>
      <c r="AF409" s="720">
        <f t="shared" si="55"/>
        <v>8.5353593868660489E-3</v>
      </c>
    </row>
    <row r="410" spans="1:32">
      <c r="A410" s="103" t="s">
        <v>826</v>
      </c>
      <c r="B410" s="40" t="s">
        <v>827</v>
      </c>
      <c r="C410" s="40" t="s">
        <v>1396</v>
      </c>
      <c r="D410" s="40" t="s">
        <v>43</v>
      </c>
      <c r="E410" s="40" t="s">
        <v>44</v>
      </c>
      <c r="F410" s="40" t="s">
        <v>1348</v>
      </c>
      <c r="G410" s="40" t="s">
        <v>58</v>
      </c>
      <c r="H410" s="40" t="s">
        <v>1360</v>
      </c>
      <c r="I410" s="40" t="s">
        <v>69</v>
      </c>
      <c r="J410" s="449">
        <v>590824.50554655807</v>
      </c>
      <c r="K410" s="604" t="s">
        <v>717</v>
      </c>
      <c r="L410" s="604">
        <v>0.2</v>
      </c>
      <c r="M410" s="604" t="s">
        <v>108</v>
      </c>
      <c r="N410" s="604" t="s">
        <v>708</v>
      </c>
      <c r="O410" s="647"/>
      <c r="P410" s="604"/>
      <c r="Q410" s="434">
        <v>14198.295664040908</v>
      </c>
      <c r="R410" s="449">
        <v>8893.7176278768711</v>
      </c>
      <c r="S410" s="672">
        <v>4428.1290160166154</v>
      </c>
      <c r="T410" s="41"/>
      <c r="U410" s="449">
        <v>147.05670333890205</v>
      </c>
      <c r="V410" s="41">
        <v>174.68768213021647</v>
      </c>
      <c r="W410" s="672">
        <v>554.70463467830336</v>
      </c>
      <c r="X410" s="41"/>
      <c r="Y410" s="672"/>
      <c r="Z410" s="456"/>
      <c r="AA410" s="434">
        <f t="shared" si="54"/>
        <v>9215.4620133459885</v>
      </c>
      <c r="AB410" s="456">
        <f t="shared" si="50"/>
        <v>0.96508646175274104</v>
      </c>
      <c r="AC410" s="456">
        <f t="shared" si="51"/>
        <v>1.5957605069168757E-2</v>
      </c>
      <c r="AD410" s="456">
        <f t="shared" si="52"/>
        <v>1.5053061517225828E-2</v>
      </c>
      <c r="AE410" s="456">
        <f t="shared" si="53"/>
        <v>2.4890081903908724E-4</v>
      </c>
      <c r="AF410" s="720">
        <f t="shared" si="55"/>
        <v>1.5597629967668619E-2</v>
      </c>
    </row>
    <row r="411" spans="1:32">
      <c r="A411" s="103" t="s">
        <v>828</v>
      </c>
      <c r="B411" s="40" t="s">
        <v>829</v>
      </c>
      <c r="C411" s="40" t="s">
        <v>1396</v>
      </c>
      <c r="D411" s="40" t="s">
        <v>43</v>
      </c>
      <c r="E411" s="40" t="s">
        <v>44</v>
      </c>
      <c r="F411" s="40" t="s">
        <v>1348</v>
      </c>
      <c r="G411" s="40" t="s">
        <v>830</v>
      </c>
      <c r="H411" s="40" t="s">
        <v>1359</v>
      </c>
      <c r="I411" s="40" t="s">
        <v>46</v>
      </c>
      <c r="J411" s="449">
        <v>6271071456.8137655</v>
      </c>
      <c r="K411" s="604" t="s">
        <v>717</v>
      </c>
      <c r="L411" s="604">
        <v>0.2</v>
      </c>
      <c r="M411" s="604" t="s">
        <v>108</v>
      </c>
      <c r="N411" s="604" t="s">
        <v>708</v>
      </c>
      <c r="O411" s="647"/>
      <c r="P411" s="604"/>
      <c r="Q411" s="434">
        <v>179556406.09999999</v>
      </c>
      <c r="R411" s="449">
        <v>94669020</v>
      </c>
      <c r="S411" s="672">
        <v>78490030</v>
      </c>
      <c r="T411" s="41"/>
      <c r="U411" s="449">
        <v>1734993</v>
      </c>
      <c r="V411" s="41">
        <v>2000694</v>
      </c>
      <c r="W411" s="672">
        <v>2661669.1</v>
      </c>
      <c r="X411" s="41"/>
      <c r="Y411" s="672"/>
      <c r="Z411" s="456"/>
      <c r="AA411" s="434">
        <f t="shared" si="54"/>
        <v>98404707</v>
      </c>
      <c r="AB411" s="456">
        <f t="shared" si="50"/>
        <v>0.96203751716876718</v>
      </c>
      <c r="AC411" s="456">
        <f t="shared" si="51"/>
        <v>1.7631199288058445E-2</v>
      </c>
      <c r="AD411" s="456">
        <f t="shared" si="52"/>
        <v>1.5096147548620003E-2</v>
      </c>
      <c r="AE411" s="456">
        <f t="shared" si="53"/>
        <v>2.7666611869250223E-4</v>
      </c>
      <c r="AF411" s="720">
        <f t="shared" si="55"/>
        <v>1.5691849100695453E-2</v>
      </c>
    </row>
    <row r="412" spans="1:32">
      <c r="A412" s="103" t="s">
        <v>831</v>
      </c>
      <c r="B412" s="40" t="s">
        <v>832</v>
      </c>
      <c r="C412" s="40" t="s">
        <v>1396</v>
      </c>
      <c r="D412" s="40" t="s">
        <v>43</v>
      </c>
      <c r="E412" s="40" t="s">
        <v>44</v>
      </c>
      <c r="F412" s="40" t="s">
        <v>1348</v>
      </c>
      <c r="G412" s="40" t="s">
        <v>641</v>
      </c>
      <c r="H412" s="40" t="s">
        <v>45</v>
      </c>
      <c r="I412" s="40" t="s">
        <v>46</v>
      </c>
      <c r="J412" s="449">
        <v>322682724038.78882</v>
      </c>
      <c r="K412" s="604" t="s">
        <v>734</v>
      </c>
      <c r="L412" s="604"/>
      <c r="M412" s="604"/>
      <c r="N412" s="604" t="s">
        <v>708</v>
      </c>
      <c r="O412" s="647"/>
      <c r="P412" s="604"/>
      <c r="Q412" s="434">
        <v>5002644067</v>
      </c>
      <c r="R412" s="449">
        <v>4836519649</v>
      </c>
      <c r="S412" s="672"/>
      <c r="T412" s="41"/>
      <c r="U412" s="449">
        <v>84128090</v>
      </c>
      <c r="V412" s="41">
        <v>81591684</v>
      </c>
      <c r="W412" s="672">
        <v>404644</v>
      </c>
      <c r="X412" s="41"/>
      <c r="Y412" s="672"/>
      <c r="Z412" s="456"/>
      <c r="AA412" s="434">
        <f t="shared" si="54"/>
        <v>5002239423</v>
      </c>
      <c r="AB412" s="456">
        <f t="shared" si="50"/>
        <v>0.96687088322121684</v>
      </c>
      <c r="AC412" s="456">
        <f t="shared" si="51"/>
        <v>1.6818085438530597E-2</v>
      </c>
      <c r="AD412" s="456">
        <f t="shared" si="52"/>
        <v>1.498846789336827E-2</v>
      </c>
      <c r="AE412" s="456">
        <f t="shared" si="53"/>
        <v>2.6071457730066512E-4</v>
      </c>
      <c r="AF412" s="720">
        <f t="shared" si="55"/>
        <v>1.5502036676741004E-2</v>
      </c>
    </row>
    <row r="413" spans="1:32">
      <c r="A413" s="103" t="s">
        <v>833</v>
      </c>
      <c r="B413" s="40" t="s">
        <v>834</v>
      </c>
      <c r="C413" s="40" t="s">
        <v>1396</v>
      </c>
      <c r="D413" s="40" t="s">
        <v>43</v>
      </c>
      <c r="E413" s="40" t="s">
        <v>44</v>
      </c>
      <c r="F413" s="40" t="s">
        <v>55</v>
      </c>
      <c r="G413" s="40" t="s">
        <v>58</v>
      </c>
      <c r="H413" s="40" t="s">
        <v>1357</v>
      </c>
      <c r="I413" s="40" t="s">
        <v>46</v>
      </c>
      <c r="J413" s="449">
        <v>1519833498.8426719</v>
      </c>
      <c r="K413" s="604" t="s">
        <v>717</v>
      </c>
      <c r="L413" s="604"/>
      <c r="M413" s="604"/>
      <c r="N413" s="604" t="s">
        <v>708</v>
      </c>
      <c r="O413" s="647"/>
      <c r="P413" s="604"/>
      <c r="Q413" s="434">
        <v>22481230.065361615</v>
      </c>
      <c r="R413" s="449">
        <v>21195340.626723498</v>
      </c>
      <c r="S413" s="672"/>
      <c r="T413" s="41"/>
      <c r="U413" s="449">
        <v>354915.02434222453</v>
      </c>
      <c r="V413" s="41">
        <v>628034.64366742386</v>
      </c>
      <c r="W413" s="672">
        <v>302939.77062847337</v>
      </c>
      <c r="X413" s="41"/>
      <c r="Y413" s="672"/>
      <c r="Z413" s="456"/>
      <c r="AA413" s="434">
        <f t="shared" si="54"/>
        <v>22178290.294733144</v>
      </c>
      <c r="AB413" s="456">
        <f t="shared" si="50"/>
        <v>0.95567964640434544</v>
      </c>
      <c r="AC413" s="456">
        <f t="shared" si="51"/>
        <v>1.6002812643610722E-2</v>
      </c>
      <c r="AD413" s="456">
        <f t="shared" si="52"/>
        <v>1.3945830673467456E-2</v>
      </c>
      <c r="AE413" s="456">
        <f t="shared" si="53"/>
        <v>2.3352230662930279E-4</v>
      </c>
      <c r="AF413" s="720">
        <f t="shared" si="55"/>
        <v>1.4592578931587932E-2</v>
      </c>
    </row>
    <row r="414" spans="1:32">
      <c r="A414" s="103" t="s">
        <v>835</v>
      </c>
      <c r="B414" s="40" t="s">
        <v>836</v>
      </c>
      <c r="C414" s="40" t="s">
        <v>1396</v>
      </c>
      <c r="D414" s="40" t="s">
        <v>43</v>
      </c>
      <c r="E414" s="40" t="s">
        <v>44</v>
      </c>
      <c r="F414" s="40" t="s">
        <v>55</v>
      </c>
      <c r="G414" s="40" t="s">
        <v>58</v>
      </c>
      <c r="H414" s="40" t="s">
        <v>1357</v>
      </c>
      <c r="I414" s="40" t="s">
        <v>69</v>
      </c>
      <c r="J414" s="449">
        <v>864721.64157894789</v>
      </c>
      <c r="K414" s="604" t="s">
        <v>717</v>
      </c>
      <c r="L414" s="604"/>
      <c r="M414" s="604"/>
      <c r="N414" s="604" t="s">
        <v>708</v>
      </c>
      <c r="O414" s="647"/>
      <c r="P414" s="604"/>
      <c r="Q414" s="434">
        <v>12784.352209744135</v>
      </c>
      <c r="R414" s="449">
        <v>12053.108259188732</v>
      </c>
      <c r="S414" s="672"/>
      <c r="T414" s="41"/>
      <c r="U414" s="449">
        <v>201.82875503382408</v>
      </c>
      <c r="V414" s="41">
        <v>357.14309498288344</v>
      </c>
      <c r="W414" s="672">
        <v>172.27210053869479</v>
      </c>
      <c r="X414" s="41"/>
      <c r="Y414" s="672"/>
      <c r="Z414" s="456"/>
      <c r="AA414" s="434">
        <f t="shared" si="54"/>
        <v>12612.080109205439</v>
      </c>
      <c r="AB414" s="456">
        <f t="shared" si="50"/>
        <v>0.95567964640434544</v>
      </c>
      <c r="AC414" s="456">
        <f t="shared" si="51"/>
        <v>1.6002812643610722E-2</v>
      </c>
      <c r="AD414" s="456">
        <f t="shared" si="52"/>
        <v>1.3938714702664579E-2</v>
      </c>
      <c r="AE414" s="456">
        <f t="shared" si="53"/>
        <v>2.3340315001864955E-4</v>
      </c>
      <c r="AF414" s="720">
        <f t="shared" si="55"/>
        <v>1.4585132952352475E-2</v>
      </c>
    </row>
    <row r="415" spans="1:32">
      <c r="A415" s="103" t="s">
        <v>837</v>
      </c>
      <c r="B415" s="40" t="s">
        <v>838</v>
      </c>
      <c r="C415" s="40" t="s">
        <v>1396</v>
      </c>
      <c r="D415" s="40" t="s">
        <v>43</v>
      </c>
      <c r="E415" s="40" t="s">
        <v>44</v>
      </c>
      <c r="F415" s="40" t="s">
        <v>55</v>
      </c>
      <c r="G415" s="40" t="s">
        <v>830</v>
      </c>
      <c r="H415" s="40" t="s">
        <v>1358</v>
      </c>
      <c r="I415" s="40" t="s">
        <v>69</v>
      </c>
      <c r="J415" s="449">
        <v>2241122.6072874493</v>
      </c>
      <c r="K415" s="604" t="s">
        <v>839</v>
      </c>
      <c r="L415" s="604"/>
      <c r="M415" s="604"/>
      <c r="N415" s="604" t="s">
        <v>708</v>
      </c>
      <c r="O415" s="647"/>
      <c r="P415" s="604"/>
      <c r="Q415" s="434">
        <v>14706.683944629685</v>
      </c>
      <c r="R415" s="449">
        <v>13447</v>
      </c>
      <c r="S415" s="672"/>
      <c r="T415" s="41"/>
      <c r="U415" s="449">
        <v>558</v>
      </c>
      <c r="V415" s="41">
        <v>560</v>
      </c>
      <c r="W415" s="672">
        <v>141.68394462968575</v>
      </c>
      <c r="X415" s="41"/>
      <c r="Y415" s="672"/>
      <c r="Z415" s="456">
        <v>8.8308055074102602E-3</v>
      </c>
      <c r="AA415" s="434">
        <f t="shared" si="54"/>
        <v>14565</v>
      </c>
      <c r="AB415" s="456">
        <f t="shared" si="50"/>
        <v>0.92324064538276696</v>
      </c>
      <c r="AC415" s="456">
        <f t="shared" si="51"/>
        <v>3.831101956745623E-2</v>
      </c>
      <c r="AD415" s="456">
        <f t="shared" si="52"/>
        <v>6.0001179570784947E-3</v>
      </c>
      <c r="AE415" s="456">
        <f t="shared" si="53"/>
        <v>2.4898236186880345E-4</v>
      </c>
      <c r="AF415" s="720">
        <f t="shared" si="55"/>
        <v>1.5329780598125533E-2</v>
      </c>
    </row>
    <row r="416" spans="1:32">
      <c r="A416" s="103" t="s">
        <v>840</v>
      </c>
      <c r="B416" s="40" t="s">
        <v>841</v>
      </c>
      <c r="C416" s="40" t="s">
        <v>1396</v>
      </c>
      <c r="D416" s="40" t="s">
        <v>43</v>
      </c>
      <c r="E416" s="40" t="s">
        <v>44</v>
      </c>
      <c r="F416" s="40" t="s">
        <v>55</v>
      </c>
      <c r="G416" s="40" t="s">
        <v>830</v>
      </c>
      <c r="H416" s="40" t="s">
        <v>1358</v>
      </c>
      <c r="I416" s="40" t="s">
        <v>46</v>
      </c>
      <c r="J416" s="449">
        <v>1656499297.1983805</v>
      </c>
      <c r="K416" s="604" t="s">
        <v>839</v>
      </c>
      <c r="L416" s="604"/>
      <c r="M416" s="604"/>
      <c r="N416" s="604" t="s">
        <v>708</v>
      </c>
      <c r="O416" s="647"/>
      <c r="P416" s="604"/>
      <c r="Q416" s="434">
        <v>11181953</v>
      </c>
      <c r="R416" s="449">
        <v>9986702</v>
      </c>
      <c r="S416" s="672"/>
      <c r="T416" s="41"/>
      <c r="U416" s="449">
        <v>453467</v>
      </c>
      <c r="V416" s="41">
        <v>653704</v>
      </c>
      <c r="W416" s="672">
        <v>88080</v>
      </c>
      <c r="X416" s="41"/>
      <c r="Y416" s="672"/>
      <c r="Z416" s="456"/>
      <c r="AA416" s="434">
        <f t="shared" si="54"/>
        <v>11093873</v>
      </c>
      <c r="AB416" s="456">
        <f t="shared" si="50"/>
        <v>0.90019977693993791</v>
      </c>
      <c r="AC416" s="456">
        <f t="shared" si="51"/>
        <v>4.0875445392244893E-2</v>
      </c>
      <c r="AD416" s="456">
        <f t="shared" si="52"/>
        <v>6.0287994186839691E-3</v>
      </c>
      <c r="AE416" s="456">
        <f t="shared" si="53"/>
        <v>2.7375019160403137E-4</v>
      </c>
      <c r="AF416" s="720">
        <f t="shared" si="55"/>
        <v>6.697179418526134E-3</v>
      </c>
    </row>
    <row r="417" spans="1:32">
      <c r="A417" s="103" t="s">
        <v>842</v>
      </c>
      <c r="B417" s="40" t="s">
        <v>843</v>
      </c>
      <c r="C417" s="40" t="s">
        <v>1396</v>
      </c>
      <c r="D417" s="40" t="s">
        <v>43</v>
      </c>
      <c r="E417" s="40" t="s">
        <v>44</v>
      </c>
      <c r="F417" s="40" t="s">
        <v>55</v>
      </c>
      <c r="G417" s="40" t="s">
        <v>88</v>
      </c>
      <c r="H417" s="40" t="s">
        <v>45</v>
      </c>
      <c r="I417" s="40" t="s">
        <v>46</v>
      </c>
      <c r="J417" s="449">
        <v>4456393536.6437244</v>
      </c>
      <c r="K417" s="604" t="s">
        <v>844</v>
      </c>
      <c r="L417" s="604"/>
      <c r="M417" s="604"/>
      <c r="N417" s="604" t="s">
        <v>708</v>
      </c>
      <c r="O417" s="647"/>
      <c r="P417" s="604"/>
      <c r="Q417" s="434">
        <v>25404696</v>
      </c>
      <c r="R417" s="449">
        <v>22469311</v>
      </c>
      <c r="S417" s="672"/>
      <c r="T417" s="41"/>
      <c r="U417" s="449">
        <v>1376983</v>
      </c>
      <c r="V417" s="41">
        <v>1466480</v>
      </c>
      <c r="W417" s="672">
        <v>91922</v>
      </c>
      <c r="X417" s="41"/>
      <c r="Y417" s="672"/>
      <c r="Z417" s="456">
        <v>7.0155401364523067E-3</v>
      </c>
      <c r="AA417" s="434">
        <f t="shared" si="54"/>
        <v>25312774</v>
      </c>
      <c r="AB417" s="456">
        <f t="shared" si="50"/>
        <v>0.88766687523066412</v>
      </c>
      <c r="AC417" s="456">
        <f t="shared" si="51"/>
        <v>5.4398739545495886E-2</v>
      </c>
      <c r="AD417" s="456">
        <f t="shared" si="52"/>
        <v>5.0420392219046421E-3</v>
      </c>
      <c r="AE417" s="456">
        <f t="shared" si="53"/>
        <v>3.0899044006716184E-4</v>
      </c>
      <c r="AF417" s="720">
        <f t="shared" si="55"/>
        <v>1.2695643069880396E-2</v>
      </c>
    </row>
    <row r="418" spans="1:32">
      <c r="A418" s="103" t="s">
        <v>845</v>
      </c>
      <c r="B418" s="40" t="s">
        <v>846</v>
      </c>
      <c r="C418" s="40" t="s">
        <v>1396</v>
      </c>
      <c r="D418" s="40" t="s">
        <v>43</v>
      </c>
      <c r="E418" s="40" t="s">
        <v>44</v>
      </c>
      <c r="F418" s="40" t="s">
        <v>55</v>
      </c>
      <c r="G418" s="40" t="s">
        <v>61</v>
      </c>
      <c r="H418" s="40" t="s">
        <v>1358</v>
      </c>
      <c r="I418" s="40" t="s">
        <v>46</v>
      </c>
      <c r="J418" s="449">
        <v>687808748.15384614</v>
      </c>
      <c r="K418" s="604" t="s">
        <v>847</v>
      </c>
      <c r="L418" s="604"/>
      <c r="M418" s="604"/>
      <c r="N418" s="604" t="s">
        <v>708</v>
      </c>
      <c r="O418" s="647"/>
      <c r="P418" s="604"/>
      <c r="Q418" s="434">
        <v>5263998</v>
      </c>
      <c r="R418" s="449">
        <v>4827315</v>
      </c>
      <c r="S418" s="672"/>
      <c r="T418" s="41"/>
      <c r="U418" s="449">
        <v>178853</v>
      </c>
      <c r="V418" s="41">
        <v>173000</v>
      </c>
      <c r="W418" s="672">
        <v>84830</v>
      </c>
      <c r="X418" s="41"/>
      <c r="Y418" s="672"/>
      <c r="Z418" s="456">
        <v>4.9035203252854112E-3</v>
      </c>
      <c r="AA418" s="434">
        <f t="shared" si="54"/>
        <v>5179168</v>
      </c>
      <c r="AB418" s="456">
        <f t="shared" si="50"/>
        <v>0.93206379866418698</v>
      </c>
      <c r="AC418" s="456">
        <f t="shared" si="51"/>
        <v>3.4533152815278439E-2</v>
      </c>
      <c r="AD418" s="456">
        <f t="shared" si="52"/>
        <v>7.0183972113716797E-3</v>
      </c>
      <c r="AE418" s="456">
        <f t="shared" si="53"/>
        <v>2.6003304040557934E-4</v>
      </c>
      <c r="AF418" s="720">
        <f t="shared" si="55"/>
        <v>1.243347398449875E-2</v>
      </c>
    </row>
    <row r="419" spans="1:32">
      <c r="A419" s="103" t="s">
        <v>848</v>
      </c>
      <c r="B419" s="40" t="s">
        <v>849</v>
      </c>
      <c r="C419" s="40" t="s">
        <v>1396</v>
      </c>
      <c r="D419" s="40" t="s">
        <v>43</v>
      </c>
      <c r="E419" s="40" t="s">
        <v>44</v>
      </c>
      <c r="F419" s="40" t="s">
        <v>55</v>
      </c>
      <c r="G419" s="40" t="s">
        <v>97</v>
      </c>
      <c r="H419" s="40" t="s">
        <v>1358</v>
      </c>
      <c r="I419" s="40" t="s">
        <v>46</v>
      </c>
      <c r="J419" s="449">
        <v>3726955772.9433198</v>
      </c>
      <c r="K419" s="604" t="s">
        <v>847</v>
      </c>
      <c r="L419" s="604"/>
      <c r="M419" s="604"/>
      <c r="N419" s="604" t="s">
        <v>708</v>
      </c>
      <c r="O419" s="647"/>
      <c r="P419" s="604"/>
      <c r="Q419" s="434">
        <v>2871136</v>
      </c>
      <c r="R419" s="449">
        <v>0</v>
      </c>
      <c r="S419" s="672"/>
      <c r="T419" s="41"/>
      <c r="U419" s="449">
        <v>1492603</v>
      </c>
      <c r="V419" s="41">
        <v>1289818</v>
      </c>
      <c r="W419" s="672">
        <v>88715</v>
      </c>
      <c r="X419" s="41"/>
      <c r="Y419" s="672"/>
      <c r="Z419" s="456">
        <v>1.3983753242701352E-2</v>
      </c>
      <c r="AA419" s="434">
        <f t="shared" si="54"/>
        <v>2782421</v>
      </c>
      <c r="AB419" s="456">
        <f t="shared" si="50"/>
        <v>0</v>
      </c>
      <c r="AC419" s="456">
        <f t="shared" si="51"/>
        <v>0.53644038770552693</v>
      </c>
      <c r="AD419" s="456">
        <f t="shared" si="52"/>
        <v>0</v>
      </c>
      <c r="AE419" s="456">
        <f t="shared" si="53"/>
        <v>4.0048851956760254E-4</v>
      </c>
      <c r="AF419" s="720">
        <f t="shared" si="55"/>
        <v>1.4730319923261292E-2</v>
      </c>
    </row>
    <row r="420" spans="1:32">
      <c r="A420" s="103" t="s">
        <v>850</v>
      </c>
      <c r="B420" s="40" t="s">
        <v>851</v>
      </c>
      <c r="C420" s="40" t="s">
        <v>1396</v>
      </c>
      <c r="D420" s="40" t="s">
        <v>43</v>
      </c>
      <c r="E420" s="40" t="s">
        <v>44</v>
      </c>
      <c r="F420" s="40" t="s">
        <v>1348</v>
      </c>
      <c r="G420" s="40" t="s">
        <v>58</v>
      </c>
      <c r="H420" s="40" t="s">
        <v>1359</v>
      </c>
      <c r="I420" s="40" t="s">
        <v>46</v>
      </c>
      <c r="J420" s="449">
        <v>7241617929.4534416</v>
      </c>
      <c r="K420" s="604" t="s">
        <v>717</v>
      </c>
      <c r="L420" s="604"/>
      <c r="M420" s="604"/>
      <c r="N420" s="604" t="s">
        <v>708</v>
      </c>
      <c r="O420" s="647"/>
      <c r="P420" s="604"/>
      <c r="Q420" s="434">
        <v>151327459.09260356</v>
      </c>
      <c r="R420" s="449">
        <v>144862018.61447349</v>
      </c>
      <c r="S420" s="672"/>
      <c r="T420" s="41"/>
      <c r="U420" s="449">
        <v>1933048.8053692202</v>
      </c>
      <c r="V420" s="41">
        <v>2038463.2549526568</v>
      </c>
      <c r="W420" s="672">
        <v>2493928.4178081793</v>
      </c>
      <c r="X420" s="41"/>
      <c r="Y420" s="672"/>
      <c r="Z420" s="456"/>
      <c r="AA420" s="434">
        <f t="shared" si="54"/>
        <v>148833530.67479539</v>
      </c>
      <c r="AB420" s="456">
        <f t="shared" si="50"/>
        <v>0.97331574382254127</v>
      </c>
      <c r="AC420" s="456">
        <f t="shared" si="51"/>
        <v>1.2987992669427264E-2</v>
      </c>
      <c r="AD420" s="456">
        <f t="shared" si="52"/>
        <v>2.0004095773305579E-2</v>
      </c>
      <c r="AE420" s="456">
        <f t="shared" si="53"/>
        <v>2.6693603890741533E-4</v>
      </c>
      <c r="AF420" s="720">
        <f t="shared" si="55"/>
        <v>2.0552524604957795E-2</v>
      </c>
    </row>
    <row r="421" spans="1:32">
      <c r="A421" s="103" t="s">
        <v>852</v>
      </c>
      <c r="B421" s="40" t="s">
        <v>853</v>
      </c>
      <c r="C421" s="40" t="s">
        <v>1396</v>
      </c>
      <c r="D421" s="40" t="s">
        <v>43</v>
      </c>
      <c r="E421" s="40" t="s">
        <v>44</v>
      </c>
      <c r="F421" s="40" t="s">
        <v>1348</v>
      </c>
      <c r="G421" s="40" t="s">
        <v>58</v>
      </c>
      <c r="H421" s="40" t="s">
        <v>1359</v>
      </c>
      <c r="I421" s="40" t="s">
        <v>46</v>
      </c>
      <c r="J421" s="449">
        <v>13695330198.178137</v>
      </c>
      <c r="K421" s="604" t="s">
        <v>798</v>
      </c>
      <c r="L421" s="604"/>
      <c r="M421" s="604"/>
      <c r="N421" s="604" t="s">
        <v>708</v>
      </c>
      <c r="O421" s="647"/>
      <c r="P421" s="604"/>
      <c r="Q421" s="434">
        <v>121902782.67739642</v>
      </c>
      <c r="R421" s="449">
        <v>109675357.38552648</v>
      </c>
      <c r="S421" s="672"/>
      <c r="T421" s="41"/>
      <c r="U421" s="449">
        <v>3655777.1946307789</v>
      </c>
      <c r="V421" s="41">
        <v>3855136.745047343</v>
      </c>
      <c r="W421" s="672">
        <v>4716511.3521918198</v>
      </c>
      <c r="X421" s="41"/>
      <c r="Y421" s="672"/>
      <c r="Z421" s="456"/>
      <c r="AA421" s="434">
        <f t="shared" si="54"/>
        <v>117186271.3252046</v>
      </c>
      <c r="AB421" s="456">
        <f t="shared" si="50"/>
        <v>0.93590619571097611</v>
      </c>
      <c r="AC421" s="456">
        <f t="shared" si="51"/>
        <v>3.1196292477687945E-2</v>
      </c>
      <c r="AD421" s="456">
        <f t="shared" si="52"/>
        <v>8.0082302360344974E-3</v>
      </c>
      <c r="AE421" s="456">
        <f t="shared" si="53"/>
        <v>2.6693603890741533E-4</v>
      </c>
      <c r="AF421" s="720">
        <f t="shared" si="55"/>
        <v>8.5566590676867116E-3</v>
      </c>
    </row>
    <row r="422" spans="1:32">
      <c r="A422" s="103" t="s">
        <v>854</v>
      </c>
      <c r="B422" s="40" t="s">
        <v>432</v>
      </c>
      <c r="C422" s="40" t="s">
        <v>1396</v>
      </c>
      <c r="D422" s="40" t="s">
        <v>43</v>
      </c>
      <c r="E422" s="40" t="s">
        <v>44</v>
      </c>
      <c r="F422" s="40" t="s">
        <v>884</v>
      </c>
      <c r="G422" s="40" t="s">
        <v>97</v>
      </c>
      <c r="H422" s="40" t="s">
        <v>1358</v>
      </c>
      <c r="I422" s="40" t="s">
        <v>46</v>
      </c>
      <c r="J422" s="449">
        <v>61668822109.149193</v>
      </c>
      <c r="K422" s="604" t="s">
        <v>717</v>
      </c>
      <c r="L422" s="604">
        <v>0.2</v>
      </c>
      <c r="M422" s="604" t="s">
        <v>108</v>
      </c>
      <c r="N422" s="604" t="s">
        <v>708</v>
      </c>
      <c r="O422" s="647"/>
      <c r="P422" s="604"/>
      <c r="Q422" s="434">
        <v>1580087926.5899999</v>
      </c>
      <c r="R422" s="449">
        <v>1248271080</v>
      </c>
      <c r="S422" s="672">
        <v>295620723</v>
      </c>
      <c r="T422" s="41"/>
      <c r="U422" s="449">
        <v>19654085</v>
      </c>
      <c r="V422" s="41">
        <v>16141422</v>
      </c>
      <c r="W422" s="672">
        <v>400616.59</v>
      </c>
      <c r="X422" s="41"/>
      <c r="Y422" s="672"/>
      <c r="Z422" s="456"/>
      <c r="AA422" s="434">
        <f t="shared" si="54"/>
        <v>1284066587</v>
      </c>
      <c r="AB422" s="456">
        <f t="shared" si="50"/>
        <v>0.97212332494093623</v>
      </c>
      <c r="AC422" s="456">
        <f t="shared" si="51"/>
        <v>1.5306126021017632E-2</v>
      </c>
      <c r="AD422" s="456">
        <f t="shared" si="52"/>
        <v>2.0241526225207508E-2</v>
      </c>
      <c r="AE422" s="456">
        <f t="shared" si="53"/>
        <v>3.1870375220097023E-4</v>
      </c>
      <c r="AF422" s="720">
        <f t="shared" si="55"/>
        <v>2.0821973617840446E-2</v>
      </c>
    </row>
    <row r="423" spans="1:32">
      <c r="A423" s="103" t="s">
        <v>855</v>
      </c>
      <c r="B423" s="40" t="s">
        <v>856</v>
      </c>
      <c r="C423" s="40" t="s">
        <v>1396</v>
      </c>
      <c r="D423" s="40" t="s">
        <v>553</v>
      </c>
      <c r="E423" s="40" t="s">
        <v>621</v>
      </c>
      <c r="F423" s="40" t="s">
        <v>1348</v>
      </c>
      <c r="G423" s="40" t="s">
        <v>622</v>
      </c>
      <c r="H423" s="40" t="s">
        <v>1358</v>
      </c>
      <c r="I423" s="40" t="s">
        <v>46</v>
      </c>
      <c r="J423" s="449">
        <v>2392882430.6275306</v>
      </c>
      <c r="K423" s="604" t="s">
        <v>727</v>
      </c>
      <c r="L423" s="604"/>
      <c r="M423" s="604"/>
      <c r="N423" s="604">
        <v>0</v>
      </c>
      <c r="O423" s="647" t="s">
        <v>728</v>
      </c>
      <c r="P423" s="604"/>
      <c r="Q423" s="434">
        <v>12702526.66</v>
      </c>
      <c r="R423" s="449">
        <v>11971983</v>
      </c>
      <c r="S423" s="672"/>
      <c r="T423" s="41"/>
      <c r="U423" s="449">
        <v>0</v>
      </c>
      <c r="V423" s="41">
        <v>598000</v>
      </c>
      <c r="W423" s="672">
        <v>132543.66</v>
      </c>
      <c r="X423" s="41"/>
      <c r="Y423" s="672"/>
      <c r="Z423" s="456"/>
      <c r="AA423" s="434">
        <f t="shared" si="54"/>
        <v>12569983</v>
      </c>
      <c r="AB423" s="456">
        <f t="shared" si="50"/>
        <v>0.95242634775241941</v>
      </c>
      <c r="AC423" s="456">
        <f t="shared" si="51"/>
        <v>0</v>
      </c>
      <c r="AD423" s="456">
        <f t="shared" si="52"/>
        <v>5.0031639025659783E-3</v>
      </c>
      <c r="AE423" s="456">
        <f t="shared" si="53"/>
        <v>0</v>
      </c>
      <c r="AF423" s="720">
        <f t="shared" si="55"/>
        <v>5.2530717092956116E-3</v>
      </c>
    </row>
    <row r="424" spans="1:32">
      <c r="A424" s="103" t="s">
        <v>857</v>
      </c>
      <c r="B424" s="40" t="s">
        <v>858</v>
      </c>
      <c r="C424" s="40" t="s">
        <v>1396</v>
      </c>
      <c r="D424" s="40" t="s">
        <v>43</v>
      </c>
      <c r="E424" s="40" t="s">
        <v>44</v>
      </c>
      <c r="F424" s="40" t="s">
        <v>1348</v>
      </c>
      <c r="G424" s="40" t="s">
        <v>58</v>
      </c>
      <c r="H424" s="40" t="s">
        <v>1361</v>
      </c>
      <c r="I424" s="40" t="s">
        <v>46</v>
      </c>
      <c r="J424" s="449">
        <v>1050968418.6639004</v>
      </c>
      <c r="K424" s="604" t="s">
        <v>813</v>
      </c>
      <c r="L424" s="604">
        <v>0.2</v>
      </c>
      <c r="M424" s="604" t="s">
        <v>108</v>
      </c>
      <c r="N424" s="604" t="s">
        <v>708</v>
      </c>
      <c r="O424" s="647"/>
      <c r="P424" s="604"/>
      <c r="Q424" s="434">
        <v>19775171.714251351</v>
      </c>
      <c r="R424" s="449">
        <v>15850814.585231468</v>
      </c>
      <c r="S424" s="672">
        <v>1890902.3184911655</v>
      </c>
      <c r="T424" s="41"/>
      <c r="U424" s="449">
        <v>184250.96858614878</v>
      </c>
      <c r="V424" s="41">
        <v>360991.42714886385</v>
      </c>
      <c r="W424" s="672">
        <v>1488212.4147937044</v>
      </c>
      <c r="X424" s="41"/>
      <c r="Y424" s="672"/>
      <c r="Z424" s="456"/>
      <c r="AA424" s="434">
        <f t="shared" si="54"/>
        <v>16396056.98096648</v>
      </c>
      <c r="AB424" s="456">
        <f t="shared" si="50"/>
        <v>0.9667455171467163</v>
      </c>
      <c r="AC424" s="456">
        <f t="shared" si="51"/>
        <v>1.1237516971308302E-2</v>
      </c>
      <c r="AD424" s="456">
        <f t="shared" si="52"/>
        <v>1.5082103613905603E-2</v>
      </c>
      <c r="AE424" s="456">
        <f t="shared" si="53"/>
        <v>1.7531541891657187E-4</v>
      </c>
      <c r="AF424" s="720">
        <f t="shared" si="55"/>
        <v>1.5600903595001306E-2</v>
      </c>
    </row>
    <row r="425" spans="1:32">
      <c r="A425" s="103" t="s">
        <v>859</v>
      </c>
      <c r="B425" s="40" t="s">
        <v>860</v>
      </c>
      <c r="C425" s="40" t="s">
        <v>1396</v>
      </c>
      <c r="D425" s="40" t="s">
        <v>43</v>
      </c>
      <c r="E425" s="40" t="s">
        <v>44</v>
      </c>
      <c r="F425" s="40" t="s">
        <v>1348</v>
      </c>
      <c r="G425" s="40" t="s">
        <v>58</v>
      </c>
      <c r="H425" s="40" t="s">
        <v>1361</v>
      </c>
      <c r="I425" s="40" t="s">
        <v>46</v>
      </c>
      <c r="J425" s="449">
        <v>1442611198.9253111</v>
      </c>
      <c r="K425" s="604" t="s">
        <v>798</v>
      </c>
      <c r="L425" s="604">
        <v>0.2</v>
      </c>
      <c r="M425" s="604" t="s">
        <v>108</v>
      </c>
      <c r="N425" s="604" t="s">
        <v>708</v>
      </c>
      <c r="O425" s="647"/>
      <c r="P425" s="604"/>
      <c r="Q425" s="434">
        <v>16896019.545243859</v>
      </c>
      <c r="R425" s="449">
        <v>11509252.976079278</v>
      </c>
      <c r="S425" s="672">
        <v>2595545.986241051</v>
      </c>
      <c r="T425" s="41"/>
      <c r="U425" s="449">
        <v>252911.98667332891</v>
      </c>
      <c r="V425" s="41">
        <v>495514.67605757224</v>
      </c>
      <c r="W425" s="672">
        <v>2042793.92019263</v>
      </c>
      <c r="X425" s="41"/>
      <c r="Y425" s="672"/>
      <c r="Z425" s="456"/>
      <c r="AA425" s="434">
        <f t="shared" si="54"/>
        <v>12257679.638810178</v>
      </c>
      <c r="AB425" s="456">
        <f t="shared" si="50"/>
        <v>0.93894222358681678</v>
      </c>
      <c r="AC425" s="456">
        <f t="shared" si="51"/>
        <v>2.0632941480421853E-2</v>
      </c>
      <c r="AD425" s="456">
        <f t="shared" si="52"/>
        <v>7.9780698948221252E-3</v>
      </c>
      <c r="AE425" s="456">
        <f t="shared" si="53"/>
        <v>1.7531541891657187E-4</v>
      </c>
      <c r="AF425" s="720">
        <f t="shared" si="55"/>
        <v>8.4968698759178285E-3</v>
      </c>
    </row>
    <row r="426" spans="1:32">
      <c r="A426" s="103" t="s">
        <v>861</v>
      </c>
      <c r="B426" s="40" t="s">
        <v>862</v>
      </c>
      <c r="C426" s="40" t="s">
        <v>1396</v>
      </c>
      <c r="D426" s="40" t="s">
        <v>43</v>
      </c>
      <c r="E426" s="40" t="s">
        <v>44</v>
      </c>
      <c r="F426" s="40" t="s">
        <v>1348</v>
      </c>
      <c r="G426" s="40" t="s">
        <v>58</v>
      </c>
      <c r="H426" s="40" t="s">
        <v>1361</v>
      </c>
      <c r="I426" s="40" t="s">
        <v>69</v>
      </c>
      <c r="J426" s="449">
        <v>557229.20360995876</v>
      </c>
      <c r="K426" s="604" t="s">
        <v>813</v>
      </c>
      <c r="L426" s="604">
        <v>0.2</v>
      </c>
      <c r="M426" s="604" t="s">
        <v>108</v>
      </c>
      <c r="N426" s="604" t="s">
        <v>708</v>
      </c>
      <c r="O426" s="647"/>
      <c r="P426" s="604"/>
      <c r="Q426" s="434">
        <v>10455.223199594655</v>
      </c>
      <c r="R426" s="449">
        <v>8374.7480329200171</v>
      </c>
      <c r="S426" s="672">
        <v>1002.4508949854134</v>
      </c>
      <c r="T426" s="41"/>
      <c r="U426" s="449">
        <v>97.679582152343258</v>
      </c>
      <c r="V426" s="41">
        <v>191.377510984384</v>
      </c>
      <c r="W426" s="672">
        <v>788.96717855249801</v>
      </c>
      <c r="X426" s="41"/>
      <c r="Y426" s="672"/>
      <c r="Z426" s="456"/>
      <c r="AA426" s="434">
        <f t="shared" si="54"/>
        <v>8663.8051260567445</v>
      </c>
      <c r="AB426" s="456">
        <f t="shared" si="50"/>
        <v>0.96663624251342217</v>
      </c>
      <c r="AC426" s="456">
        <f t="shared" si="51"/>
        <v>1.1274443588137499E-2</v>
      </c>
      <c r="AD426" s="456">
        <f t="shared" si="52"/>
        <v>1.5029269784614612E-2</v>
      </c>
      <c r="AE426" s="456">
        <f t="shared" si="53"/>
        <v>1.7529515954931105E-4</v>
      </c>
      <c r="AF426" s="720">
        <f t="shared" si="55"/>
        <v>1.5548009813428784E-2</v>
      </c>
    </row>
    <row r="427" spans="1:32">
      <c r="A427" s="103" t="s">
        <v>863</v>
      </c>
      <c r="B427" s="40" t="s">
        <v>864</v>
      </c>
      <c r="C427" s="40" t="s">
        <v>1396</v>
      </c>
      <c r="D427" s="40" t="s">
        <v>43</v>
      </c>
      <c r="E427" s="40" t="s">
        <v>44</v>
      </c>
      <c r="F427" s="40" t="s">
        <v>1348</v>
      </c>
      <c r="G427" s="40" t="s">
        <v>58</v>
      </c>
      <c r="H427" s="40" t="s">
        <v>1358</v>
      </c>
      <c r="I427" s="40" t="s">
        <v>46</v>
      </c>
      <c r="J427" s="449">
        <v>251213710.22267208</v>
      </c>
      <c r="K427" s="604" t="s">
        <v>734</v>
      </c>
      <c r="L427" s="604">
        <v>0.2</v>
      </c>
      <c r="M427" s="604" t="s">
        <v>108</v>
      </c>
      <c r="N427" s="604" t="s">
        <v>708</v>
      </c>
      <c r="O427" s="647"/>
      <c r="P427" s="604"/>
      <c r="Q427" s="434">
        <v>13456720.317022037</v>
      </c>
      <c r="R427" s="449">
        <v>4108694.1956594</v>
      </c>
      <c r="S427" s="672">
        <v>8920823.4341856632</v>
      </c>
      <c r="T427" s="41"/>
      <c r="U427" s="449">
        <v>78095.840666874981</v>
      </c>
      <c r="V427" s="41">
        <v>63768.777710361595</v>
      </c>
      <c r="W427" s="672">
        <v>285338.06879973586</v>
      </c>
      <c r="X427" s="41"/>
      <c r="Y427" s="672"/>
      <c r="Z427" s="456"/>
      <c r="AA427" s="434">
        <f t="shared" si="54"/>
        <v>4250558.8140366366</v>
      </c>
      <c r="AB427" s="456">
        <f t="shared" si="50"/>
        <v>0.96662447819595942</v>
      </c>
      <c r="AC427" s="456">
        <f t="shared" si="51"/>
        <v>1.8373076125656418E-2</v>
      </c>
      <c r="AD427" s="456">
        <f t="shared" si="52"/>
        <v>1.6355374043946547E-2</v>
      </c>
      <c r="AE427" s="456">
        <f t="shared" si="53"/>
        <v>3.1087411828618748E-4</v>
      </c>
      <c r="AF427" s="720">
        <f t="shared" si="55"/>
        <v>1.6920090906937385E-2</v>
      </c>
    </row>
    <row r="428" spans="1:32">
      <c r="A428" s="103" t="s">
        <v>865</v>
      </c>
      <c r="B428" s="40" t="s">
        <v>866</v>
      </c>
      <c r="C428" s="40" t="s">
        <v>1396</v>
      </c>
      <c r="D428" s="40" t="s">
        <v>43</v>
      </c>
      <c r="E428" s="40" t="s">
        <v>44</v>
      </c>
      <c r="F428" s="40" t="s">
        <v>1348</v>
      </c>
      <c r="G428" s="40" t="s">
        <v>58</v>
      </c>
      <c r="H428" s="40" t="s">
        <v>1358</v>
      </c>
      <c r="I428" s="40" t="s">
        <v>46</v>
      </c>
      <c r="J428" s="449">
        <v>721829660.72874498</v>
      </c>
      <c r="K428" s="604" t="s">
        <v>798</v>
      </c>
      <c r="L428" s="604">
        <v>0.2</v>
      </c>
      <c r="M428" s="604" t="s">
        <v>108</v>
      </c>
      <c r="N428" s="604" t="s">
        <v>708</v>
      </c>
      <c r="O428" s="647"/>
      <c r="P428" s="604"/>
      <c r="Q428" s="434">
        <v>26860327.478486717</v>
      </c>
      <c r="R428" s="449">
        <v>0</v>
      </c>
      <c r="S428" s="672">
        <v>25632816.565670572</v>
      </c>
      <c r="T428" s="41"/>
      <c r="U428" s="449">
        <v>224398.15933186645</v>
      </c>
      <c r="V428" s="41">
        <v>183231.2222886107</v>
      </c>
      <c r="W428" s="672">
        <v>819881.53119566571</v>
      </c>
      <c r="X428" s="41"/>
      <c r="Y428" s="672"/>
      <c r="Z428" s="456"/>
      <c r="AA428" s="434">
        <f t="shared" si="54"/>
        <v>407629.38162047719</v>
      </c>
      <c r="AB428" s="456">
        <f t="shared" si="50"/>
        <v>0</v>
      </c>
      <c r="AC428" s="456">
        <f t="shared" si="51"/>
        <v>0.55049554681215807</v>
      </c>
      <c r="AD428" s="456">
        <f t="shared" si="52"/>
        <v>0</v>
      </c>
      <c r="AE428" s="456">
        <f t="shared" si="53"/>
        <v>3.1087411828618748E-4</v>
      </c>
      <c r="AF428" s="720">
        <f t="shared" si="55"/>
        <v>5.6471686299083726E-4</v>
      </c>
    </row>
    <row r="429" spans="1:32">
      <c r="A429" s="103" t="s">
        <v>867</v>
      </c>
      <c r="B429" s="40" t="s">
        <v>868</v>
      </c>
      <c r="C429" s="40" t="s">
        <v>1396</v>
      </c>
      <c r="D429" s="40" t="s">
        <v>553</v>
      </c>
      <c r="E429" s="40" t="s">
        <v>621</v>
      </c>
      <c r="F429" s="40" t="s">
        <v>1348</v>
      </c>
      <c r="G429" s="40" t="s">
        <v>622</v>
      </c>
      <c r="H429" s="40" t="s">
        <v>1358</v>
      </c>
      <c r="I429" s="40" t="s">
        <v>46</v>
      </c>
      <c r="J429" s="449">
        <v>2852078394.7975707</v>
      </c>
      <c r="K429" s="604" t="s">
        <v>727</v>
      </c>
      <c r="L429" s="604"/>
      <c r="M429" s="604"/>
      <c r="N429" s="604">
        <v>0</v>
      </c>
      <c r="O429" s="647" t="s">
        <v>728</v>
      </c>
      <c r="P429" s="604"/>
      <c r="Q429" s="434">
        <v>57920007.740000002</v>
      </c>
      <c r="R429" s="449">
        <v>57066939</v>
      </c>
      <c r="S429" s="672"/>
      <c r="T429" s="41"/>
      <c r="U429" s="449">
        <v>0</v>
      </c>
      <c r="V429" s="41">
        <v>713000</v>
      </c>
      <c r="W429" s="672">
        <v>140068.74</v>
      </c>
      <c r="X429" s="41"/>
      <c r="Y429" s="672"/>
      <c r="Z429" s="456"/>
      <c r="AA429" s="434">
        <f t="shared" si="54"/>
        <v>57779939</v>
      </c>
      <c r="AB429" s="456">
        <f t="shared" si="50"/>
        <v>0.98766007696892866</v>
      </c>
      <c r="AC429" s="456">
        <f t="shared" si="51"/>
        <v>0</v>
      </c>
      <c r="AD429" s="456">
        <f t="shared" si="52"/>
        <v>2.000889565451457E-2</v>
      </c>
      <c r="AE429" s="456">
        <f t="shared" si="53"/>
        <v>0</v>
      </c>
      <c r="AF429" s="720">
        <f t="shared" si="55"/>
        <v>2.0258888782789225E-2</v>
      </c>
    </row>
    <row r="430" spans="1:32">
      <c r="A430" s="103" t="s">
        <v>869</v>
      </c>
      <c r="B430" s="40" t="s">
        <v>870</v>
      </c>
      <c r="C430" s="40" t="s">
        <v>1396</v>
      </c>
      <c r="D430" s="40" t="s">
        <v>553</v>
      </c>
      <c r="E430" s="40" t="s">
        <v>621</v>
      </c>
      <c r="F430" s="40" t="s">
        <v>1348</v>
      </c>
      <c r="G430" s="40" t="s">
        <v>622</v>
      </c>
      <c r="H430" s="40" t="s">
        <v>1358</v>
      </c>
      <c r="I430" s="40" t="s">
        <v>46</v>
      </c>
      <c r="J430" s="449">
        <v>3927435684.7044535</v>
      </c>
      <c r="K430" s="604" t="s">
        <v>727</v>
      </c>
      <c r="L430" s="604"/>
      <c r="M430" s="604"/>
      <c r="N430" s="604">
        <v>0</v>
      </c>
      <c r="O430" s="647" t="s">
        <v>728</v>
      </c>
      <c r="P430" s="604"/>
      <c r="Q430" s="434">
        <v>73800783.180000007</v>
      </c>
      <c r="R430" s="449">
        <v>72679035</v>
      </c>
      <c r="S430" s="672"/>
      <c r="T430" s="41"/>
      <c r="U430" s="449">
        <v>0</v>
      </c>
      <c r="V430" s="41">
        <v>982000</v>
      </c>
      <c r="W430" s="672">
        <v>139748.18</v>
      </c>
      <c r="X430" s="41"/>
      <c r="Y430" s="672"/>
      <c r="Z430" s="456"/>
      <c r="AA430" s="434">
        <f t="shared" si="54"/>
        <v>73661035</v>
      </c>
      <c r="AB430" s="456">
        <f t="shared" si="50"/>
        <v>0.98666866410443455</v>
      </c>
      <c r="AC430" s="456">
        <f t="shared" si="51"/>
        <v>0</v>
      </c>
      <c r="AD430" s="456">
        <f t="shared" si="52"/>
        <v>1.8505467901880925E-2</v>
      </c>
      <c r="AE430" s="456">
        <f t="shared" si="53"/>
        <v>0</v>
      </c>
      <c r="AF430" s="720">
        <f t="shared" si="55"/>
        <v>1.8755503823239088E-2</v>
      </c>
    </row>
    <row r="431" spans="1:32">
      <c r="A431" s="103" t="s">
        <v>871</v>
      </c>
      <c r="B431" s="40" t="s">
        <v>872</v>
      </c>
      <c r="C431" s="40" t="s">
        <v>1396</v>
      </c>
      <c r="D431" s="40" t="s">
        <v>43</v>
      </c>
      <c r="E431" s="40" t="s">
        <v>44</v>
      </c>
      <c r="F431" s="40" t="s">
        <v>1348</v>
      </c>
      <c r="G431" s="40" t="s">
        <v>97</v>
      </c>
      <c r="H431" s="40" t="s">
        <v>1357</v>
      </c>
      <c r="I431" s="40" t="s">
        <v>46</v>
      </c>
      <c r="J431" s="449">
        <v>3602025978.6114993</v>
      </c>
      <c r="K431" s="604" t="s">
        <v>717</v>
      </c>
      <c r="L431" s="604">
        <v>0.2</v>
      </c>
      <c r="M431" s="604" t="s">
        <v>108</v>
      </c>
      <c r="N431" s="604" t="s">
        <v>708</v>
      </c>
      <c r="O431" s="647"/>
      <c r="P431" s="604"/>
      <c r="Q431" s="434">
        <v>107503087.06425868</v>
      </c>
      <c r="R431" s="449">
        <v>54747617.728585988</v>
      </c>
      <c r="S431" s="672">
        <v>48824401.010108441</v>
      </c>
      <c r="T431" s="41"/>
      <c r="U431" s="449">
        <v>1099339.7042834584</v>
      </c>
      <c r="V431" s="41">
        <v>1244388.6380551811</v>
      </c>
      <c r="W431" s="672">
        <v>1587339.9832256152</v>
      </c>
      <c r="X431" s="41"/>
      <c r="Y431" s="672"/>
      <c r="Z431" s="456"/>
      <c r="AA431" s="434">
        <f t="shared" si="54"/>
        <v>57091346.070924632</v>
      </c>
      <c r="AB431" s="456">
        <f t="shared" si="50"/>
        <v>0.95894774771246372</v>
      </c>
      <c r="AC431" s="456">
        <f t="shared" si="51"/>
        <v>1.9255802848259132E-2</v>
      </c>
      <c r="AD431" s="456">
        <f t="shared" si="52"/>
        <v>1.5199117955748329E-2</v>
      </c>
      <c r="AE431" s="456">
        <f t="shared" si="53"/>
        <v>3.0520038189930807E-4</v>
      </c>
      <c r="AF431" s="720">
        <f t="shared" si="55"/>
        <v>1.5849787427944111E-2</v>
      </c>
    </row>
    <row r="432" spans="1:32">
      <c r="A432" s="103" t="s">
        <v>873</v>
      </c>
      <c r="B432" s="40" t="s">
        <v>874</v>
      </c>
      <c r="C432" s="40" t="s">
        <v>1396</v>
      </c>
      <c r="D432" s="40" t="s">
        <v>43</v>
      </c>
      <c r="E432" s="40" t="s">
        <v>44</v>
      </c>
      <c r="F432" s="40" t="s">
        <v>1348</v>
      </c>
      <c r="G432" s="40" t="s">
        <v>97</v>
      </c>
      <c r="H432" s="40" t="s">
        <v>1357</v>
      </c>
      <c r="I432" s="40" t="s">
        <v>69</v>
      </c>
      <c r="J432" s="449">
        <v>716443.80295546539</v>
      </c>
      <c r="K432" s="604" t="s">
        <v>717</v>
      </c>
      <c r="L432" s="604">
        <v>0.2</v>
      </c>
      <c r="M432" s="604" t="s">
        <v>108</v>
      </c>
      <c r="N432" s="604" t="s">
        <v>708</v>
      </c>
      <c r="O432" s="647"/>
      <c r="P432" s="604"/>
      <c r="Q432" s="434">
        <v>21375.233773917334</v>
      </c>
      <c r="R432" s="449">
        <v>10885.669979077791</v>
      </c>
      <c r="S432" s="672">
        <v>9707.9350366816416</v>
      </c>
      <c r="T432" s="41"/>
      <c r="U432" s="449">
        <v>218.58575244413254</v>
      </c>
      <c r="V432" s="41">
        <v>247.42636486463701</v>
      </c>
      <c r="W432" s="672">
        <v>315.61664084913616</v>
      </c>
      <c r="X432" s="41"/>
      <c r="Y432" s="672"/>
      <c r="Z432" s="456"/>
      <c r="AA432" s="434">
        <f t="shared" ref="AA432:AA463" si="56">+R432+T432+U432+V432+X432</f>
        <v>11351.682096386561</v>
      </c>
      <c r="AB432" s="456">
        <f t="shared" si="50"/>
        <v>0.95894774771246372</v>
      </c>
      <c r="AC432" s="456">
        <f t="shared" si="51"/>
        <v>1.9255802848259132E-2</v>
      </c>
      <c r="AD432" s="456">
        <f t="shared" si="52"/>
        <v>1.5194031875455347E-2</v>
      </c>
      <c r="AE432" s="456">
        <f t="shared" si="53"/>
        <v>3.0509825270652802E-4</v>
      </c>
      <c r="AF432" s="720">
        <f t="shared" ref="AF432:AF463" si="57">+(AA432/J432)+Z432</f>
        <v>1.5844483614149134E-2</v>
      </c>
    </row>
    <row r="433" spans="1:32">
      <c r="A433" s="103" t="s">
        <v>875</v>
      </c>
      <c r="B433" s="40" t="s">
        <v>876</v>
      </c>
      <c r="C433" s="40" t="s">
        <v>1396</v>
      </c>
      <c r="D433" s="40" t="s">
        <v>553</v>
      </c>
      <c r="E433" s="40" t="s">
        <v>621</v>
      </c>
      <c r="F433" s="40" t="s">
        <v>1348</v>
      </c>
      <c r="G433" s="40" t="s">
        <v>622</v>
      </c>
      <c r="H433" s="40" t="s">
        <v>1358</v>
      </c>
      <c r="I433" s="40" t="s">
        <v>46</v>
      </c>
      <c r="J433" s="449">
        <v>3272313341.1538463</v>
      </c>
      <c r="K433" s="604" t="s">
        <v>727</v>
      </c>
      <c r="L433" s="604"/>
      <c r="M433" s="604"/>
      <c r="N433" s="604">
        <v>0</v>
      </c>
      <c r="O433" s="647" t="s">
        <v>728</v>
      </c>
      <c r="P433" s="604"/>
      <c r="Q433" s="434">
        <v>56706589.670000002</v>
      </c>
      <c r="R433" s="449">
        <v>55757624</v>
      </c>
      <c r="S433" s="672"/>
      <c r="T433" s="41"/>
      <c r="U433" s="449">
        <v>0</v>
      </c>
      <c r="V433" s="41">
        <v>818000</v>
      </c>
      <c r="W433" s="672">
        <v>130965.67</v>
      </c>
      <c r="X433" s="41"/>
      <c r="Y433" s="672"/>
      <c r="Z433" s="456"/>
      <c r="AA433" s="434">
        <f t="shared" si="56"/>
        <v>56575624</v>
      </c>
      <c r="AB433" s="456">
        <f t="shared" si="50"/>
        <v>0.98554147630788835</v>
      </c>
      <c r="AC433" s="456">
        <f t="shared" si="51"/>
        <v>0</v>
      </c>
      <c r="AD433" s="456">
        <f t="shared" si="52"/>
        <v>1.7039206881190472E-2</v>
      </c>
      <c r="AE433" s="456">
        <f t="shared" si="53"/>
        <v>0</v>
      </c>
      <c r="AF433" s="720">
        <f t="shared" si="57"/>
        <v>1.7289182942380125E-2</v>
      </c>
    </row>
    <row r="434" spans="1:32">
      <c r="A434" s="103" t="s">
        <v>877</v>
      </c>
      <c r="B434" s="40" t="s">
        <v>878</v>
      </c>
      <c r="C434" s="40" t="s">
        <v>1398</v>
      </c>
      <c r="D434" s="40" t="s">
        <v>43</v>
      </c>
      <c r="E434" s="40" t="s">
        <v>44</v>
      </c>
      <c r="F434" s="40" t="s">
        <v>55</v>
      </c>
      <c r="G434" s="40" t="s">
        <v>81</v>
      </c>
      <c r="H434" s="40" t="s">
        <v>45</v>
      </c>
      <c r="I434" s="40" t="s">
        <v>46</v>
      </c>
      <c r="J434" s="41">
        <v>228844892.95616439</v>
      </c>
      <c r="K434" s="444" t="s">
        <v>880</v>
      </c>
      <c r="L434" s="444"/>
      <c r="M434" s="444"/>
      <c r="N434" s="444" t="s">
        <v>881</v>
      </c>
      <c r="O434" s="42">
        <v>2.5000000000000001E-4</v>
      </c>
      <c r="P434" s="444">
        <v>0.03</v>
      </c>
      <c r="Q434" s="434">
        <v>2660165.5099999998</v>
      </c>
      <c r="R434" s="41">
        <v>1603335</v>
      </c>
      <c r="S434" s="672"/>
      <c r="T434" s="41"/>
      <c r="U434" s="41">
        <v>137427</v>
      </c>
      <c r="V434" s="41">
        <v>881547</v>
      </c>
      <c r="W434" s="672">
        <v>37856.509999999995</v>
      </c>
      <c r="X434" s="41"/>
      <c r="Y434" s="672"/>
      <c r="Z434" s="734">
        <v>5.8741246244218403E-3</v>
      </c>
      <c r="AA434" s="434">
        <f t="shared" si="56"/>
        <v>2622309</v>
      </c>
      <c r="AB434" s="42">
        <f t="shared" si="50"/>
        <v>0.61142107966681269</v>
      </c>
      <c r="AC434" s="42">
        <f t="shared" si="51"/>
        <v>5.2406867382905675E-2</v>
      </c>
      <c r="AD434" s="42">
        <f t="shared" si="52"/>
        <v>7.0062083505054292E-3</v>
      </c>
      <c r="AE434" s="42">
        <f t="shared" si="53"/>
        <v>6.0052465329136432E-4</v>
      </c>
      <c r="AF434" s="721">
        <f t="shared" si="57"/>
        <v>1.7333017003996629E-2</v>
      </c>
    </row>
    <row r="435" spans="1:32">
      <c r="A435" s="103" t="s">
        <v>882</v>
      </c>
      <c r="B435" s="40" t="s">
        <v>883</v>
      </c>
      <c r="C435" s="40" t="s">
        <v>1398</v>
      </c>
      <c r="D435" s="40" t="s">
        <v>43</v>
      </c>
      <c r="E435" s="40" t="s">
        <v>621</v>
      </c>
      <c r="F435" s="40" t="s">
        <v>884</v>
      </c>
      <c r="G435" s="40" t="s">
        <v>884</v>
      </c>
      <c r="H435" s="40" t="s">
        <v>45</v>
      </c>
      <c r="I435" s="40" t="s">
        <v>46</v>
      </c>
      <c r="J435" s="41">
        <v>1868861823.4821918</v>
      </c>
      <c r="K435" s="444" t="s">
        <v>885</v>
      </c>
      <c r="L435" s="444"/>
      <c r="M435" s="444"/>
      <c r="N435" s="444" t="s">
        <v>886</v>
      </c>
      <c r="O435" s="42">
        <v>2.5000000000000001E-4</v>
      </c>
      <c r="P435" s="444">
        <v>0.04</v>
      </c>
      <c r="Q435" s="434">
        <v>37098110.850000001</v>
      </c>
      <c r="R435" s="41">
        <v>33650098</v>
      </c>
      <c r="S435" s="672"/>
      <c r="T435" s="41"/>
      <c r="U435" s="41">
        <v>1869450</v>
      </c>
      <c r="V435" s="41">
        <v>1291547</v>
      </c>
      <c r="W435" s="672">
        <v>287015.84999999998</v>
      </c>
      <c r="X435" s="41"/>
      <c r="Y435" s="672"/>
      <c r="Z435" s="734"/>
      <c r="AA435" s="434">
        <f t="shared" si="56"/>
        <v>36811095</v>
      </c>
      <c r="AB435" s="42">
        <f t="shared" si="50"/>
        <v>0.91412923196117912</v>
      </c>
      <c r="AC435" s="42">
        <f t="shared" si="51"/>
        <v>5.078496034959025E-2</v>
      </c>
      <c r="AD435" s="42">
        <f t="shared" si="52"/>
        <v>1.8005663970009737E-2</v>
      </c>
      <c r="AE435" s="42">
        <f t="shared" si="53"/>
        <v>1.0003147244544341E-3</v>
      </c>
      <c r="AF435" s="721">
        <f t="shared" si="57"/>
        <v>1.9697066170152183E-2</v>
      </c>
    </row>
    <row r="436" spans="1:32">
      <c r="A436" s="103" t="s">
        <v>887</v>
      </c>
      <c r="B436" s="40" t="s">
        <v>888</v>
      </c>
      <c r="C436" s="40" t="s">
        <v>1398</v>
      </c>
      <c r="D436" s="40" t="s">
        <v>43</v>
      </c>
      <c r="E436" s="40" t="s">
        <v>621</v>
      </c>
      <c r="F436" s="40" t="s">
        <v>884</v>
      </c>
      <c r="G436" s="40" t="s">
        <v>884</v>
      </c>
      <c r="H436" s="40" t="s">
        <v>45</v>
      </c>
      <c r="I436" s="40" t="s">
        <v>46</v>
      </c>
      <c r="J436" s="41">
        <v>1545269111.0602739</v>
      </c>
      <c r="K436" s="444" t="s">
        <v>885</v>
      </c>
      <c r="L436" s="444"/>
      <c r="M436" s="444"/>
      <c r="N436" s="444" t="s">
        <v>886</v>
      </c>
      <c r="O436" s="42">
        <v>2.5000000000000001E-4</v>
      </c>
      <c r="P436" s="444">
        <v>0.04</v>
      </c>
      <c r="Q436" s="434">
        <v>27764347.48</v>
      </c>
      <c r="R436" s="41">
        <v>24729628</v>
      </c>
      <c r="S436" s="672"/>
      <c r="T436" s="41"/>
      <c r="U436" s="41">
        <v>1545602</v>
      </c>
      <c r="V436" s="41">
        <v>1210547</v>
      </c>
      <c r="W436" s="672">
        <v>278570.48</v>
      </c>
      <c r="X436" s="41"/>
      <c r="Y436" s="672"/>
      <c r="Z436" s="734"/>
      <c r="AA436" s="434">
        <f t="shared" si="56"/>
        <v>27485777</v>
      </c>
      <c r="AB436" s="42">
        <f t="shared" si="50"/>
        <v>0.89972453753081094</v>
      </c>
      <c r="AC436" s="42">
        <f t="shared" si="51"/>
        <v>5.6232792691289023E-2</v>
      </c>
      <c r="AD436" s="42">
        <f t="shared" si="52"/>
        <v>1.6003444204635637E-2</v>
      </c>
      <c r="AE436" s="42">
        <f t="shared" si="53"/>
        <v>1.0002154245738451E-3</v>
      </c>
      <c r="AF436" s="721">
        <f t="shared" si="57"/>
        <v>1.7787048743335622E-2</v>
      </c>
    </row>
    <row r="437" spans="1:32">
      <c r="A437" s="103" t="s">
        <v>889</v>
      </c>
      <c r="B437" s="40" t="s">
        <v>890</v>
      </c>
      <c r="C437" s="40" t="s">
        <v>1398</v>
      </c>
      <c r="D437" s="40" t="s">
        <v>43</v>
      </c>
      <c r="E437" s="40" t="s">
        <v>44</v>
      </c>
      <c r="F437" s="40" t="s">
        <v>55</v>
      </c>
      <c r="G437" s="40" t="s">
        <v>1351</v>
      </c>
      <c r="H437" s="40" t="s">
        <v>62</v>
      </c>
      <c r="I437" s="40" t="s">
        <v>46</v>
      </c>
      <c r="J437" s="41">
        <v>1420709931.7479453</v>
      </c>
      <c r="K437" s="444" t="s">
        <v>891</v>
      </c>
      <c r="L437" s="444"/>
      <c r="M437" s="444"/>
      <c r="N437" s="444" t="s">
        <v>886</v>
      </c>
      <c r="O437" s="42">
        <v>2.9999999999999997E-4</v>
      </c>
      <c r="P437" s="444">
        <v>0.03</v>
      </c>
      <c r="Q437" s="434">
        <v>31354003.77</v>
      </c>
      <c r="R437" s="41">
        <v>28425968</v>
      </c>
      <c r="S437" s="672"/>
      <c r="T437" s="41">
        <v>213951</v>
      </c>
      <c r="U437" s="41">
        <v>1421299</v>
      </c>
      <c r="V437" s="41">
        <v>1177204</v>
      </c>
      <c r="W437" s="672">
        <v>115581.76999999999</v>
      </c>
      <c r="X437" s="41"/>
      <c r="Y437" s="672"/>
      <c r="Z437" s="734">
        <v>7.3610000000000004E-3</v>
      </c>
      <c r="AA437" s="434">
        <f t="shared" si="56"/>
        <v>31238422</v>
      </c>
      <c r="AB437" s="42">
        <f t="shared" si="50"/>
        <v>0.90996811554693768</v>
      </c>
      <c r="AC437" s="42">
        <f t="shared" si="51"/>
        <v>4.5498424984463041E-2</v>
      </c>
      <c r="AD437" s="42">
        <f t="shared" si="52"/>
        <v>2.0008284143566601E-2</v>
      </c>
      <c r="AE437" s="42">
        <f t="shared" si="53"/>
        <v>1.0004146295023995E-3</v>
      </c>
      <c r="AF437" s="721">
        <f t="shared" si="57"/>
        <v>2.9348895841318123E-2</v>
      </c>
    </row>
    <row r="438" spans="1:32">
      <c r="A438" s="103" t="s">
        <v>892</v>
      </c>
      <c r="B438" s="40" t="s">
        <v>893</v>
      </c>
      <c r="C438" s="40" t="s">
        <v>1398</v>
      </c>
      <c r="D438" s="40" t="s">
        <v>43</v>
      </c>
      <c r="E438" s="40" t="s">
        <v>44</v>
      </c>
      <c r="F438" s="40" t="s">
        <v>55</v>
      </c>
      <c r="G438" s="40" t="s">
        <v>1351</v>
      </c>
      <c r="H438" s="40" t="s">
        <v>62</v>
      </c>
      <c r="I438" s="40" t="s">
        <v>46</v>
      </c>
      <c r="J438" s="41">
        <v>305598563.51232874</v>
      </c>
      <c r="K438" s="444" t="s">
        <v>894</v>
      </c>
      <c r="L438" s="444"/>
      <c r="M438" s="444"/>
      <c r="N438" s="444" t="s">
        <v>886</v>
      </c>
      <c r="O438" s="42">
        <v>2.5000000000000001E-4</v>
      </c>
      <c r="P438" s="444">
        <v>0.03</v>
      </c>
      <c r="Q438" s="434">
        <v>5848929.71</v>
      </c>
      <c r="R438" s="41">
        <v>4587128</v>
      </c>
      <c r="S438" s="672"/>
      <c r="T438" s="41"/>
      <c r="U438" s="41">
        <v>314856</v>
      </c>
      <c r="V438" s="41">
        <v>899141</v>
      </c>
      <c r="W438" s="672">
        <v>47804.71</v>
      </c>
      <c r="X438" s="41"/>
      <c r="Y438" s="672"/>
      <c r="Z438" s="734">
        <v>7.509E-3</v>
      </c>
      <c r="AA438" s="434">
        <f t="shared" si="56"/>
        <v>5801125</v>
      </c>
      <c r="AB438" s="42">
        <f t="shared" si="50"/>
        <v>0.79073076342950721</v>
      </c>
      <c r="AC438" s="42">
        <f t="shared" si="51"/>
        <v>5.4274989764916286E-2</v>
      </c>
      <c r="AD438" s="42">
        <f t="shared" si="52"/>
        <v>1.5010306158768779E-2</v>
      </c>
      <c r="AE438" s="42">
        <f t="shared" si="53"/>
        <v>1.0302928010566313E-3</v>
      </c>
      <c r="AF438" s="721">
        <f t="shared" si="57"/>
        <v>2.6491828104052803E-2</v>
      </c>
    </row>
    <row r="439" spans="1:32">
      <c r="A439" s="103" t="s">
        <v>895</v>
      </c>
      <c r="B439" s="40" t="s">
        <v>896</v>
      </c>
      <c r="C439" s="40" t="s">
        <v>1398</v>
      </c>
      <c r="D439" s="40" t="s">
        <v>43</v>
      </c>
      <c r="E439" s="40" t="s">
        <v>621</v>
      </c>
      <c r="F439" s="40" t="s">
        <v>1348</v>
      </c>
      <c r="G439" s="40" t="s">
        <v>88</v>
      </c>
      <c r="H439" s="40" t="s">
        <v>45</v>
      </c>
      <c r="I439" s="40" t="s">
        <v>46</v>
      </c>
      <c r="J439" s="41">
        <v>531444508.69483894</v>
      </c>
      <c r="K439" s="444" t="s">
        <v>897</v>
      </c>
      <c r="L439" s="444"/>
      <c r="M439" s="444"/>
      <c r="N439" s="444" t="s">
        <v>886</v>
      </c>
      <c r="O439" s="42">
        <v>2.5000000000000001E-4</v>
      </c>
      <c r="P439" s="444">
        <v>0.04</v>
      </c>
      <c r="Q439" s="434">
        <v>10636967.188269109</v>
      </c>
      <c r="R439" s="41">
        <v>8692071.1987528615</v>
      </c>
      <c r="S439" s="672"/>
      <c r="T439" s="41"/>
      <c r="U439" s="41">
        <v>531261.56343383039</v>
      </c>
      <c r="V439" s="41">
        <v>954213.32218126731</v>
      </c>
      <c r="W439" s="672">
        <v>459421.10390115023</v>
      </c>
      <c r="X439" s="41"/>
      <c r="Y439" s="672"/>
      <c r="Z439" s="734"/>
      <c r="AA439" s="434">
        <f t="shared" si="56"/>
        <v>10177546.084367959</v>
      </c>
      <c r="AB439" s="42">
        <f t="shared" si="50"/>
        <v>0.85404390475846736</v>
      </c>
      <c r="AC439" s="42">
        <f t="shared" si="51"/>
        <v>5.2199376846822951E-2</v>
      </c>
      <c r="AD439" s="42">
        <f t="shared" si="52"/>
        <v>1.6355557459986739E-2</v>
      </c>
      <c r="AE439" s="42">
        <f t="shared" si="53"/>
        <v>9.9965575848839265E-4</v>
      </c>
      <c r="AF439" s="721">
        <f t="shared" si="57"/>
        <v>1.9150722075128288E-2</v>
      </c>
    </row>
    <row r="440" spans="1:32">
      <c r="A440" s="103" t="s">
        <v>898</v>
      </c>
      <c r="B440" s="40" t="s">
        <v>899</v>
      </c>
      <c r="C440" s="40" t="s">
        <v>1398</v>
      </c>
      <c r="D440" s="40" t="s">
        <v>43</v>
      </c>
      <c r="E440" s="40" t="s">
        <v>621</v>
      </c>
      <c r="F440" s="40" t="s">
        <v>1348</v>
      </c>
      <c r="G440" s="40" t="s">
        <v>88</v>
      </c>
      <c r="H440" s="40" t="s">
        <v>45</v>
      </c>
      <c r="I440" s="40" t="s">
        <v>46</v>
      </c>
      <c r="J440" s="41">
        <v>960367.83855543565</v>
      </c>
      <c r="K440" s="444" t="s">
        <v>897</v>
      </c>
      <c r="L440" s="444"/>
      <c r="M440" s="444"/>
      <c r="N440" s="444" t="s">
        <v>886</v>
      </c>
      <c r="O440" s="42">
        <v>2.5000000000000001E-4</v>
      </c>
      <c r="P440" s="444">
        <v>0.04</v>
      </c>
      <c r="Q440" s="434">
        <v>19169.881730890884</v>
      </c>
      <c r="R440" s="41">
        <v>15664.801247139065</v>
      </c>
      <c r="S440" s="672"/>
      <c r="T440" s="41"/>
      <c r="U440" s="41">
        <v>957.43656616956537</v>
      </c>
      <c r="V440" s="41">
        <v>1719.6778187328357</v>
      </c>
      <c r="W440" s="672">
        <v>827.96609884941358</v>
      </c>
      <c r="X440" s="41"/>
      <c r="Y440" s="672"/>
      <c r="Z440" s="734"/>
      <c r="AA440" s="434">
        <f t="shared" si="56"/>
        <v>18341.915632041466</v>
      </c>
      <c r="AB440" s="42">
        <f t="shared" si="50"/>
        <v>0.85404390475846736</v>
      </c>
      <c r="AC440" s="42">
        <f t="shared" si="51"/>
        <v>5.2199376846822958E-2</v>
      </c>
      <c r="AD440" s="42">
        <f t="shared" si="52"/>
        <v>1.6311251395821125E-2</v>
      </c>
      <c r="AE440" s="42">
        <f t="shared" si="53"/>
        <v>9.9694776077645483E-4</v>
      </c>
      <c r="AF440" s="721">
        <f t="shared" si="57"/>
        <v>1.9098844105016027E-2</v>
      </c>
    </row>
    <row r="441" spans="1:32">
      <c r="A441" s="103" t="s">
        <v>900</v>
      </c>
      <c r="B441" s="40" t="s">
        <v>901</v>
      </c>
      <c r="C441" s="40" t="s">
        <v>1398</v>
      </c>
      <c r="D441" s="40" t="s">
        <v>43</v>
      </c>
      <c r="E441" s="40" t="s">
        <v>621</v>
      </c>
      <c r="F441" s="40" t="s">
        <v>1348</v>
      </c>
      <c r="G441" s="40" t="s">
        <v>830</v>
      </c>
      <c r="H441" s="40" t="s">
        <v>45</v>
      </c>
      <c r="I441" s="40" t="s">
        <v>46</v>
      </c>
      <c r="J441" s="41">
        <v>237910065.44931507</v>
      </c>
      <c r="K441" s="444" t="s">
        <v>902</v>
      </c>
      <c r="L441" s="444"/>
      <c r="M441" s="444"/>
      <c r="N441" s="444" t="s">
        <v>886</v>
      </c>
      <c r="O441" s="42">
        <v>2.5000000000000001E-4</v>
      </c>
      <c r="P441" s="444">
        <v>0.04</v>
      </c>
      <c r="Q441" s="434">
        <v>5814455.1600000001</v>
      </c>
      <c r="R441" s="41">
        <v>4243762</v>
      </c>
      <c r="S441" s="672"/>
      <c r="T441" s="41"/>
      <c r="U441" s="41">
        <v>237856</v>
      </c>
      <c r="V441" s="41">
        <v>882933</v>
      </c>
      <c r="W441" s="672">
        <v>449904.16000000003</v>
      </c>
      <c r="X441" s="41"/>
      <c r="Y441" s="672"/>
      <c r="Z441" s="734">
        <v>1.5939999999999999E-3</v>
      </c>
      <c r="AA441" s="434">
        <f t="shared" si="56"/>
        <v>5364551</v>
      </c>
      <c r="AB441" s="42">
        <f t="shared" si="50"/>
        <v>0.79107496601299909</v>
      </c>
      <c r="AC441" s="42">
        <f t="shared" si="51"/>
        <v>4.4338473061398799E-2</v>
      </c>
      <c r="AD441" s="42">
        <f t="shared" si="52"/>
        <v>1.783767320640791E-2</v>
      </c>
      <c r="AE441" s="42">
        <f t="shared" si="53"/>
        <v>9.997727483735798E-4</v>
      </c>
      <c r="AF441" s="721">
        <f t="shared" si="57"/>
        <v>2.4142650852029109E-2</v>
      </c>
    </row>
    <row r="442" spans="1:32">
      <c r="A442" s="103" t="s">
        <v>903</v>
      </c>
      <c r="B442" s="40" t="s">
        <v>904</v>
      </c>
      <c r="C442" s="40" t="s">
        <v>1398</v>
      </c>
      <c r="D442" s="40" t="s">
        <v>43</v>
      </c>
      <c r="E442" s="40" t="s">
        <v>621</v>
      </c>
      <c r="F442" s="40" t="s">
        <v>1348</v>
      </c>
      <c r="G442" s="40" t="s">
        <v>830</v>
      </c>
      <c r="H442" s="40" t="s">
        <v>45</v>
      </c>
      <c r="I442" s="40" t="s">
        <v>46</v>
      </c>
      <c r="J442" s="41">
        <v>180078829.71780822</v>
      </c>
      <c r="K442" s="444" t="s">
        <v>905</v>
      </c>
      <c r="L442" s="444"/>
      <c r="M442" s="444"/>
      <c r="N442" s="444" t="s">
        <v>886</v>
      </c>
      <c r="O442" s="42">
        <v>2.5000000000000001E-4</v>
      </c>
      <c r="P442" s="444">
        <v>0.04</v>
      </c>
      <c r="Q442" s="434">
        <v>4955589.93</v>
      </c>
      <c r="R442" s="41">
        <v>3426858</v>
      </c>
      <c r="S442" s="672"/>
      <c r="T442" s="41"/>
      <c r="U442" s="41">
        <v>180068</v>
      </c>
      <c r="V442" s="41">
        <v>866933</v>
      </c>
      <c r="W442" s="672">
        <v>481730.93</v>
      </c>
      <c r="X442" s="41"/>
      <c r="Y442" s="672"/>
      <c r="Z442" s="734">
        <v>1.753E-3</v>
      </c>
      <c r="AA442" s="434">
        <f t="shared" si="56"/>
        <v>4473859</v>
      </c>
      <c r="AB442" s="42">
        <f t="shared" si="50"/>
        <v>0.76597362590103979</v>
      </c>
      <c r="AC442" s="42">
        <f t="shared" si="51"/>
        <v>4.0248921568605538E-2</v>
      </c>
      <c r="AD442" s="42">
        <f t="shared" si="52"/>
        <v>1.9029766049513112E-2</v>
      </c>
      <c r="AE442" s="42">
        <f t="shared" si="53"/>
        <v>9.9993986123840767E-4</v>
      </c>
      <c r="AF442" s="721">
        <f t="shared" si="57"/>
        <v>2.6596892016683707E-2</v>
      </c>
    </row>
    <row r="443" spans="1:32">
      <c r="A443" s="103" t="s">
        <v>906</v>
      </c>
      <c r="B443" s="40" t="s">
        <v>907</v>
      </c>
      <c r="C443" s="40" t="s">
        <v>1398</v>
      </c>
      <c r="D443" s="40" t="s">
        <v>43</v>
      </c>
      <c r="E443" s="40" t="s">
        <v>44</v>
      </c>
      <c r="F443" s="40" t="s">
        <v>1348</v>
      </c>
      <c r="G443" s="40" t="s">
        <v>1351</v>
      </c>
      <c r="H443" s="40" t="s">
        <v>62</v>
      </c>
      <c r="I443" s="40" t="s">
        <v>46</v>
      </c>
      <c r="J443" s="41">
        <v>3256046037.498559</v>
      </c>
      <c r="K443" s="444" t="s">
        <v>891</v>
      </c>
      <c r="L443" s="444"/>
      <c r="M443" s="444"/>
      <c r="N443" s="444" t="s">
        <v>908</v>
      </c>
      <c r="O443" s="42">
        <v>2.9999999999999997E-4</v>
      </c>
      <c r="P443" s="444"/>
      <c r="Q443" s="434">
        <v>73349744.599867612</v>
      </c>
      <c r="R443" s="41">
        <v>65085502</v>
      </c>
      <c r="S443" s="672"/>
      <c r="T443" s="41">
        <v>511510.95323397859</v>
      </c>
      <c r="U443" s="41">
        <v>5538775.4468801636</v>
      </c>
      <c r="V443" s="41">
        <v>1562628.8101963042</v>
      </c>
      <c r="W443" s="672">
        <v>651327.3895571687</v>
      </c>
      <c r="X443" s="41"/>
      <c r="Y443" s="672"/>
      <c r="Z443" s="734"/>
      <c r="AA443" s="434">
        <f t="shared" si="56"/>
        <v>72698417.210310459</v>
      </c>
      <c r="AB443" s="42">
        <f t="shared" si="50"/>
        <v>0.89528086714340793</v>
      </c>
      <c r="AC443" s="42">
        <f t="shared" si="51"/>
        <v>7.6188391156535751E-2</v>
      </c>
      <c r="AD443" s="42">
        <f t="shared" si="52"/>
        <v>1.9989122159341951E-2</v>
      </c>
      <c r="AE443" s="42">
        <f t="shared" si="53"/>
        <v>1.7010740582572659E-3</v>
      </c>
      <c r="AF443" s="721">
        <f t="shared" si="57"/>
        <v>2.2327208022574721E-2</v>
      </c>
    </row>
    <row r="444" spans="1:32">
      <c r="A444" s="103" t="s">
        <v>909</v>
      </c>
      <c r="B444" s="40" t="s">
        <v>910</v>
      </c>
      <c r="C444" s="40" t="s">
        <v>1398</v>
      </c>
      <c r="D444" s="40" t="s">
        <v>43</v>
      </c>
      <c r="E444" s="40" t="s">
        <v>44</v>
      </c>
      <c r="F444" s="40" t="s">
        <v>1348</v>
      </c>
      <c r="G444" s="40" t="s">
        <v>1351</v>
      </c>
      <c r="H444" s="40" t="s">
        <v>62</v>
      </c>
      <c r="I444" s="40" t="s">
        <v>46</v>
      </c>
      <c r="J444" s="41">
        <v>319283308.38003743</v>
      </c>
      <c r="K444" s="444" t="s">
        <v>911</v>
      </c>
      <c r="L444" s="444"/>
      <c r="M444" s="444"/>
      <c r="N444" s="444" t="s">
        <v>908</v>
      </c>
      <c r="O444" s="42">
        <v>2.9999999999999997E-4</v>
      </c>
      <c r="P444" s="444"/>
      <c r="Q444" s="434">
        <v>3044923.0401323843</v>
      </c>
      <c r="R444" s="41">
        <v>2234543</v>
      </c>
      <c r="S444" s="672"/>
      <c r="T444" s="41">
        <v>50158.046766021369</v>
      </c>
      <c r="U444" s="41">
        <v>543124.55311983638</v>
      </c>
      <c r="V444" s="41">
        <v>153229.1898036956</v>
      </c>
      <c r="W444" s="672">
        <v>63868.250442831275</v>
      </c>
      <c r="X444" s="41"/>
      <c r="Y444" s="672"/>
      <c r="Z444" s="734"/>
      <c r="AA444" s="434">
        <f t="shared" si="56"/>
        <v>2981054.7896895534</v>
      </c>
      <c r="AB444" s="42">
        <f t="shared" si="50"/>
        <v>0.74958132528409682</v>
      </c>
      <c r="AC444" s="42">
        <f t="shared" si="51"/>
        <v>0.18219207342257446</v>
      </c>
      <c r="AD444" s="42">
        <f t="shared" si="52"/>
        <v>6.9986214166268346E-3</v>
      </c>
      <c r="AE444" s="42">
        <f t="shared" si="53"/>
        <v>1.7010740582572659E-3</v>
      </c>
      <c r="AF444" s="721">
        <f t="shared" si="57"/>
        <v>9.3367072798596004E-3</v>
      </c>
    </row>
    <row r="445" spans="1:32">
      <c r="A445" s="103" t="s">
        <v>912</v>
      </c>
      <c r="B445" s="40" t="s">
        <v>913</v>
      </c>
      <c r="C445" s="40" t="s">
        <v>1398</v>
      </c>
      <c r="D445" s="40" t="s">
        <v>43</v>
      </c>
      <c r="E445" s="40" t="s">
        <v>44</v>
      </c>
      <c r="F445" s="40" t="s">
        <v>1349</v>
      </c>
      <c r="G445" s="40" t="s">
        <v>1351</v>
      </c>
      <c r="H445" s="40" t="s">
        <v>45</v>
      </c>
      <c r="I445" s="40" t="s">
        <v>46</v>
      </c>
      <c r="J445" s="41">
        <v>1270872025.6490967</v>
      </c>
      <c r="K445" s="444" t="s">
        <v>891</v>
      </c>
      <c r="L445" s="444"/>
      <c r="M445" s="444"/>
      <c r="N445" s="444" t="s">
        <v>886</v>
      </c>
      <c r="O445" s="42">
        <v>2.9999999999999997E-4</v>
      </c>
      <c r="P445" s="444"/>
      <c r="Q445" s="434">
        <v>27996209.849960241</v>
      </c>
      <c r="R445" s="41">
        <v>25366357</v>
      </c>
      <c r="S445" s="672"/>
      <c r="T445" s="41">
        <v>186731.36036799056</v>
      </c>
      <c r="U445" s="41">
        <v>1273137.0922653626</v>
      </c>
      <c r="V445" s="41">
        <v>1082683.6424465836</v>
      </c>
      <c r="W445" s="672">
        <v>87300.754880300228</v>
      </c>
      <c r="X445" s="41"/>
      <c r="Y445" s="672"/>
      <c r="Z445" s="734"/>
      <c r="AA445" s="434">
        <f t="shared" si="56"/>
        <v>27908909.09507994</v>
      </c>
      <c r="AB445" s="42">
        <f t="shared" si="50"/>
        <v>0.90889819138333261</v>
      </c>
      <c r="AC445" s="42">
        <f t="shared" si="51"/>
        <v>4.5617587127036931E-2</v>
      </c>
      <c r="AD445" s="42">
        <f t="shared" si="52"/>
        <v>1.995980436113869E-2</v>
      </c>
      <c r="AE445" s="42">
        <f t="shared" si="53"/>
        <v>1.0017822932368891E-3</v>
      </c>
      <c r="AF445" s="721">
        <f t="shared" si="57"/>
        <v>2.19604401795102E-2</v>
      </c>
    </row>
    <row r="446" spans="1:32">
      <c r="A446" s="103" t="s">
        <v>914</v>
      </c>
      <c r="B446" s="40" t="s">
        <v>915</v>
      </c>
      <c r="C446" s="40" t="s">
        <v>1398</v>
      </c>
      <c r="D446" s="40" t="s">
        <v>43</v>
      </c>
      <c r="E446" s="40" t="s">
        <v>44</v>
      </c>
      <c r="F446" s="40" t="s">
        <v>1348</v>
      </c>
      <c r="G446" s="40" t="s">
        <v>48</v>
      </c>
      <c r="H446" s="40" t="s">
        <v>45</v>
      </c>
      <c r="I446" s="40" t="s">
        <v>46</v>
      </c>
      <c r="J446" s="41">
        <v>5460200506.324996</v>
      </c>
      <c r="K446" s="444" t="s">
        <v>916</v>
      </c>
      <c r="L446" s="444"/>
      <c r="M446" s="444"/>
      <c r="N446" s="444" t="s">
        <v>886</v>
      </c>
      <c r="O446" s="42">
        <v>2.9999999999999997E-4</v>
      </c>
      <c r="P446" s="444"/>
      <c r="Q446" s="434">
        <v>71545976.770620644</v>
      </c>
      <c r="R446" s="41">
        <v>63085289</v>
      </c>
      <c r="S446" s="672"/>
      <c r="T446" s="41">
        <v>858975.84982280433</v>
      </c>
      <c r="U446" s="41">
        <v>5462887.3664906137</v>
      </c>
      <c r="V446" s="41">
        <v>1794640.1044475478</v>
      </c>
      <c r="W446" s="672">
        <v>344184.44985967915</v>
      </c>
      <c r="X446" s="41"/>
      <c r="Y446" s="672"/>
      <c r="Z446" s="734"/>
      <c r="AA446" s="434">
        <f t="shared" si="56"/>
        <v>71201792.320760965</v>
      </c>
      <c r="AB446" s="42">
        <f t="shared" si="50"/>
        <v>0.88600703639317857</v>
      </c>
      <c r="AC446" s="42">
        <f t="shared" si="51"/>
        <v>7.6724014781545738E-2</v>
      </c>
      <c r="AD446" s="42">
        <f t="shared" si="52"/>
        <v>1.1553657952106916E-2</v>
      </c>
      <c r="AE446" s="42">
        <f t="shared" si="53"/>
        <v>1.0004920808608594E-3</v>
      </c>
      <c r="AF446" s="721">
        <f t="shared" si="57"/>
        <v>1.3040142434015403E-2</v>
      </c>
    </row>
    <row r="447" spans="1:32">
      <c r="A447" s="103" t="s">
        <v>917</v>
      </c>
      <c r="B447" s="40" t="s">
        <v>918</v>
      </c>
      <c r="C447" s="40" t="s">
        <v>1398</v>
      </c>
      <c r="D447" s="40" t="s">
        <v>43</v>
      </c>
      <c r="E447" s="40" t="s">
        <v>44</v>
      </c>
      <c r="F447" s="40" t="s">
        <v>1348</v>
      </c>
      <c r="G447" s="40" t="s">
        <v>48</v>
      </c>
      <c r="H447" s="40" t="s">
        <v>45</v>
      </c>
      <c r="I447" s="40" t="s">
        <v>46</v>
      </c>
      <c r="J447" s="41">
        <v>1934612647.6523013</v>
      </c>
      <c r="K447" s="444" t="s">
        <v>919</v>
      </c>
      <c r="L447" s="444"/>
      <c r="M447" s="444"/>
      <c r="N447" s="444" t="s">
        <v>886</v>
      </c>
      <c r="O447" s="42">
        <v>2.9999999999999997E-4</v>
      </c>
      <c r="P447" s="444"/>
      <c r="Q447" s="434">
        <v>14610601.239379358</v>
      </c>
      <c r="R447" s="41">
        <v>11612881</v>
      </c>
      <c r="S447" s="672"/>
      <c r="T447" s="41">
        <v>304345.15017719573</v>
      </c>
      <c r="U447" s="41">
        <v>1935564.6335093875</v>
      </c>
      <c r="V447" s="41">
        <v>635861.89555245242</v>
      </c>
      <c r="W447" s="672">
        <v>121948.56014032094</v>
      </c>
      <c r="X447" s="41"/>
      <c r="Y447" s="672"/>
      <c r="Z447" s="734"/>
      <c r="AA447" s="434">
        <f t="shared" si="56"/>
        <v>14488652.679239037</v>
      </c>
      <c r="AB447" s="42">
        <f t="shared" si="50"/>
        <v>0.80151558996512051</v>
      </c>
      <c r="AC447" s="42">
        <f t="shared" si="51"/>
        <v>0.13359176152264876</v>
      </c>
      <c r="AD447" s="42">
        <f t="shared" si="52"/>
        <v>6.0026905200338213E-3</v>
      </c>
      <c r="AE447" s="42">
        <f t="shared" si="53"/>
        <v>1.0004920808608594E-3</v>
      </c>
      <c r="AF447" s="721">
        <f t="shared" si="57"/>
        <v>7.4891750019423073E-3</v>
      </c>
    </row>
    <row r="448" spans="1:32">
      <c r="A448" s="103" t="s">
        <v>920</v>
      </c>
      <c r="B448" s="40" t="s">
        <v>921</v>
      </c>
      <c r="C448" s="40" t="s">
        <v>1398</v>
      </c>
      <c r="D448" s="40" t="s">
        <v>43</v>
      </c>
      <c r="E448" s="40" t="s">
        <v>44</v>
      </c>
      <c r="F448" s="40" t="s">
        <v>1348</v>
      </c>
      <c r="G448" s="40" t="s">
        <v>365</v>
      </c>
      <c r="H448" s="40" t="s">
        <v>45</v>
      </c>
      <c r="I448" s="40" t="s">
        <v>46</v>
      </c>
      <c r="J448" s="41">
        <v>58401455447.66935</v>
      </c>
      <c r="K448" s="444" t="s">
        <v>922</v>
      </c>
      <c r="L448" s="444"/>
      <c r="M448" s="444"/>
      <c r="N448" s="444" t="s">
        <v>886</v>
      </c>
      <c r="O448" s="42">
        <v>2.9999999999999997E-4</v>
      </c>
      <c r="P448" s="444"/>
      <c r="Q448" s="434">
        <v>573795812.77292204</v>
      </c>
      <c r="R448" s="41">
        <v>495766456</v>
      </c>
      <c r="S448" s="672"/>
      <c r="T448" s="41">
        <v>4646854.9646558892</v>
      </c>
      <c r="U448" s="41">
        <v>57866996.799539424</v>
      </c>
      <c r="V448" s="41">
        <v>15387724.09695711</v>
      </c>
      <c r="W448" s="672">
        <v>127780.91176957007</v>
      </c>
      <c r="X448" s="41"/>
      <c r="Y448" s="672"/>
      <c r="Z448" s="734"/>
      <c r="AA448" s="434">
        <f t="shared" si="56"/>
        <v>573668031.86115241</v>
      </c>
      <c r="AB448" s="42">
        <f t="shared" si="50"/>
        <v>0.86420443264301106</v>
      </c>
      <c r="AC448" s="42">
        <f t="shared" si="51"/>
        <v>0.10087192171368066</v>
      </c>
      <c r="AD448" s="42">
        <f t="shared" si="52"/>
        <v>8.4889400820538068E-3</v>
      </c>
      <c r="AE448" s="42">
        <f t="shared" si="53"/>
        <v>9.9084853889285646E-4</v>
      </c>
      <c r="AF448" s="721">
        <f t="shared" si="57"/>
        <v>9.8228379320989337E-3</v>
      </c>
    </row>
    <row r="449" spans="1:32">
      <c r="A449" s="103" t="s">
        <v>923</v>
      </c>
      <c r="B449" s="40" t="s">
        <v>924</v>
      </c>
      <c r="C449" s="40" t="s">
        <v>1398</v>
      </c>
      <c r="D449" s="40" t="s">
        <v>43</v>
      </c>
      <c r="E449" s="40" t="s">
        <v>44</v>
      </c>
      <c r="F449" s="40" t="s">
        <v>1348</v>
      </c>
      <c r="G449" s="40" t="s">
        <v>365</v>
      </c>
      <c r="H449" s="40" t="s">
        <v>45</v>
      </c>
      <c r="I449" s="40" t="s">
        <v>46</v>
      </c>
      <c r="J449" s="41">
        <v>1319488608.5983446</v>
      </c>
      <c r="K449" s="444" t="s">
        <v>925</v>
      </c>
      <c r="L449" s="444"/>
      <c r="M449" s="444"/>
      <c r="N449" s="444" t="s">
        <v>886</v>
      </c>
      <c r="O449" s="42">
        <v>2.9999999999999997E-4</v>
      </c>
      <c r="P449" s="444"/>
      <c r="Q449" s="434">
        <v>7298494.0259695239</v>
      </c>
      <c r="R449" s="41">
        <v>5535544</v>
      </c>
      <c r="S449" s="672"/>
      <c r="T449" s="41">
        <v>104988.34566145731</v>
      </c>
      <c r="U449" s="41">
        <v>1307413.3599154379</v>
      </c>
      <c r="V449" s="41">
        <v>347661.31259147299</v>
      </c>
      <c r="W449" s="672">
        <v>2887.0078011555179</v>
      </c>
      <c r="X449" s="41"/>
      <c r="Y449" s="672"/>
      <c r="Z449" s="734"/>
      <c r="AA449" s="434">
        <f t="shared" si="56"/>
        <v>7295607.0181683684</v>
      </c>
      <c r="AB449" s="42">
        <f t="shared" si="50"/>
        <v>0.75875029811977879</v>
      </c>
      <c r="AC449" s="42">
        <f t="shared" si="51"/>
        <v>0.17920556256108164</v>
      </c>
      <c r="AD449" s="42">
        <f t="shared" si="52"/>
        <v>4.1952192417032321E-3</v>
      </c>
      <c r="AE449" s="42">
        <f t="shared" si="53"/>
        <v>9.9084853889285646E-4</v>
      </c>
      <c r="AF449" s="721">
        <f t="shared" si="57"/>
        <v>5.5291170917483598E-3</v>
      </c>
    </row>
    <row r="450" spans="1:32">
      <c r="A450" s="103" t="s">
        <v>926</v>
      </c>
      <c r="B450" s="40" t="s">
        <v>927</v>
      </c>
      <c r="C450" s="40" t="s">
        <v>1398</v>
      </c>
      <c r="D450" s="40" t="s">
        <v>43</v>
      </c>
      <c r="E450" s="40" t="s">
        <v>44</v>
      </c>
      <c r="F450" s="40" t="s">
        <v>55</v>
      </c>
      <c r="G450" s="40" t="s">
        <v>830</v>
      </c>
      <c r="H450" s="40" t="s">
        <v>45</v>
      </c>
      <c r="I450" s="40" t="s">
        <v>46</v>
      </c>
      <c r="J450" s="41">
        <v>791908024.65470541</v>
      </c>
      <c r="K450" s="444" t="s">
        <v>928</v>
      </c>
      <c r="L450" s="444"/>
      <c r="M450" s="444"/>
      <c r="N450" s="444" t="s">
        <v>929</v>
      </c>
      <c r="O450" s="42">
        <v>2.9999999999999997E-4</v>
      </c>
      <c r="P450" s="444">
        <v>0.03</v>
      </c>
      <c r="Q450" s="434">
        <v>11364290.163338305</v>
      </c>
      <c r="R450" s="41">
        <v>9520656</v>
      </c>
      <c r="S450" s="672"/>
      <c r="T450" s="41">
        <v>142276.89425139851</v>
      </c>
      <c r="U450" s="41">
        <v>1186558.5247211559</v>
      </c>
      <c r="V450" s="41">
        <v>488838.10644133633</v>
      </c>
      <c r="W450" s="672">
        <v>25960.637924413768</v>
      </c>
      <c r="X450" s="41"/>
      <c r="Y450" s="672"/>
      <c r="Z450" s="734">
        <v>5.7429999999999998E-3</v>
      </c>
      <c r="AA450" s="434">
        <f t="shared" si="56"/>
        <v>11338329.525413891</v>
      </c>
      <c r="AB450" s="42">
        <f t="shared" si="50"/>
        <v>0.83968771401997688</v>
      </c>
      <c r="AC450" s="42">
        <f t="shared" si="51"/>
        <v>0.10465020636960558</v>
      </c>
      <c r="AD450" s="42">
        <f t="shared" si="52"/>
        <v>1.202242647326535E-2</v>
      </c>
      <c r="AE450" s="42">
        <f t="shared" si="53"/>
        <v>1.498353960030307E-3</v>
      </c>
      <c r="AF450" s="721">
        <f t="shared" si="57"/>
        <v>2.0060735358670888E-2</v>
      </c>
    </row>
    <row r="451" spans="1:32">
      <c r="A451" s="103" t="s">
        <v>930</v>
      </c>
      <c r="B451" s="40" t="s">
        <v>931</v>
      </c>
      <c r="C451" s="40" t="s">
        <v>1398</v>
      </c>
      <c r="D451" s="40" t="s">
        <v>43</v>
      </c>
      <c r="E451" s="40" t="s">
        <v>44</v>
      </c>
      <c r="F451" s="40" t="s">
        <v>55</v>
      </c>
      <c r="G451" s="40" t="s">
        <v>830</v>
      </c>
      <c r="H451" s="40" t="s">
        <v>45</v>
      </c>
      <c r="I451" s="40" t="s">
        <v>46</v>
      </c>
      <c r="J451" s="41">
        <v>1451030619.7841718</v>
      </c>
      <c r="K451" s="444" t="s">
        <v>922</v>
      </c>
      <c r="L451" s="444"/>
      <c r="M451" s="444"/>
      <c r="N451" s="444" t="s">
        <v>929</v>
      </c>
      <c r="O451" s="42">
        <v>2.9999999999999997E-4</v>
      </c>
      <c r="P451" s="444">
        <v>0.03</v>
      </c>
      <c r="Q451" s="434">
        <v>17883322.726661693</v>
      </c>
      <c r="R451" s="41">
        <v>14505191</v>
      </c>
      <c r="S451" s="672"/>
      <c r="T451" s="41">
        <v>260697.10574860152</v>
      </c>
      <c r="U451" s="41">
        <v>2174157.4752788446</v>
      </c>
      <c r="V451" s="41">
        <v>895708.89355866378</v>
      </c>
      <c r="W451" s="672">
        <v>47568.252075586235</v>
      </c>
      <c r="X451" s="41"/>
      <c r="Y451" s="672"/>
      <c r="Z451" s="734">
        <v>5.7429999999999998E-3</v>
      </c>
      <c r="AA451" s="434">
        <f t="shared" si="56"/>
        <v>17835754.474586107</v>
      </c>
      <c r="AB451" s="42">
        <f t="shared" ref="AB451:AB514" si="58">+R451/AA451</f>
        <v>0.81326478342523856</v>
      </c>
      <c r="AC451" s="42">
        <f t="shared" ref="AC451:AC514" si="59">+U451/AA451</f>
        <v>0.12189882286038239</v>
      </c>
      <c r="AD451" s="42">
        <f t="shared" ref="AD451:AD514" si="60">+R451/J451</f>
        <v>9.9964747829770269E-3</v>
      </c>
      <c r="AE451" s="42">
        <f t="shared" ref="AE451:AE514" si="61">+U451/J451</f>
        <v>1.498353960030307E-3</v>
      </c>
      <c r="AF451" s="721">
        <f t="shared" si="57"/>
        <v>1.803478366838256E-2</v>
      </c>
    </row>
    <row r="452" spans="1:32">
      <c r="A452" s="103" t="s">
        <v>932</v>
      </c>
      <c r="B452" s="40" t="s">
        <v>933</v>
      </c>
      <c r="C452" s="40" t="s">
        <v>1398</v>
      </c>
      <c r="D452" s="40" t="s">
        <v>43</v>
      </c>
      <c r="E452" s="40" t="s">
        <v>44</v>
      </c>
      <c r="F452" s="40" t="s">
        <v>55</v>
      </c>
      <c r="G452" s="40" t="s">
        <v>1351</v>
      </c>
      <c r="H452" s="40" t="s">
        <v>62</v>
      </c>
      <c r="I452" s="40" t="s">
        <v>46</v>
      </c>
      <c r="J452" s="41">
        <v>2376622967.475791</v>
      </c>
      <c r="K452" s="444" t="s">
        <v>934</v>
      </c>
      <c r="L452" s="444"/>
      <c r="M452" s="444"/>
      <c r="N452" s="444" t="s">
        <v>886</v>
      </c>
      <c r="O452" s="42">
        <v>2.9999999999999997E-4</v>
      </c>
      <c r="P452" s="444">
        <v>0.03</v>
      </c>
      <c r="Q452" s="434">
        <v>39820834.77824764</v>
      </c>
      <c r="R452" s="41">
        <v>35591401</v>
      </c>
      <c r="S452" s="672"/>
      <c r="T452" s="41">
        <v>438118.38684958708</v>
      </c>
      <c r="U452" s="41">
        <v>2375386.5878250543</v>
      </c>
      <c r="V452" s="41">
        <v>1332739.1062355544</v>
      </c>
      <c r="W452" s="672">
        <v>83189.697337448481</v>
      </c>
      <c r="X452" s="41"/>
      <c r="Y452" s="672"/>
      <c r="Z452" s="734">
        <v>6.0549999999999996E-3</v>
      </c>
      <c r="AA452" s="434">
        <f t="shared" si="56"/>
        <v>39737645.080910198</v>
      </c>
      <c r="AB452" s="42">
        <f t="shared" si="58"/>
        <v>0.89565954216793697</v>
      </c>
      <c r="AC452" s="42">
        <f t="shared" si="59"/>
        <v>5.9776732692350211E-2</v>
      </c>
      <c r="AD452" s="42">
        <f t="shared" si="60"/>
        <v>1.4975619392335333E-2</v>
      </c>
      <c r="AE452" s="42">
        <f t="shared" si="61"/>
        <v>9.9947977459291753E-4</v>
      </c>
      <c r="AF452" s="721">
        <f t="shared" si="57"/>
        <v>2.2775214196665582E-2</v>
      </c>
    </row>
    <row r="453" spans="1:32">
      <c r="A453" s="103" t="s">
        <v>935</v>
      </c>
      <c r="B453" s="40" t="s">
        <v>936</v>
      </c>
      <c r="C453" s="40" t="s">
        <v>1398</v>
      </c>
      <c r="D453" s="40" t="s">
        <v>43</v>
      </c>
      <c r="E453" s="40" t="s">
        <v>44</v>
      </c>
      <c r="F453" s="40" t="s">
        <v>55</v>
      </c>
      <c r="G453" s="40" t="s">
        <v>1351</v>
      </c>
      <c r="H453" s="40" t="s">
        <v>62</v>
      </c>
      <c r="I453" s="40" t="s">
        <v>46</v>
      </c>
      <c r="J453" s="41">
        <v>270713244.08255118</v>
      </c>
      <c r="K453" s="444" t="s">
        <v>911</v>
      </c>
      <c r="L453" s="444"/>
      <c r="M453" s="444"/>
      <c r="N453" s="444" t="s">
        <v>886</v>
      </c>
      <c r="O453" s="42">
        <v>2.9999999999999997E-4</v>
      </c>
      <c r="P453" s="444">
        <v>0.03</v>
      </c>
      <c r="Q453" s="434">
        <v>2377122.7817523563</v>
      </c>
      <c r="R453" s="41">
        <v>1895362</v>
      </c>
      <c r="S453" s="672"/>
      <c r="T453" s="41">
        <v>49904.613150412966</v>
      </c>
      <c r="U453" s="41">
        <v>270572.4121749457</v>
      </c>
      <c r="V453" s="41">
        <v>151807.89376444579</v>
      </c>
      <c r="W453" s="672">
        <v>9475.8626625515226</v>
      </c>
      <c r="X453" s="41"/>
      <c r="Y453" s="672"/>
      <c r="Z453" s="734">
        <v>6.0549999999999996E-3</v>
      </c>
      <c r="AA453" s="434">
        <f t="shared" si="56"/>
        <v>2367646.9190898044</v>
      </c>
      <c r="AB453" s="42">
        <f t="shared" si="58"/>
        <v>0.80052561246278853</v>
      </c>
      <c r="AC453" s="42">
        <f t="shared" si="59"/>
        <v>0.11427903797368653</v>
      </c>
      <c r="AD453" s="42">
        <f t="shared" si="60"/>
        <v>7.0013641424282484E-3</v>
      </c>
      <c r="AE453" s="42">
        <f t="shared" si="61"/>
        <v>9.9947977459291753E-4</v>
      </c>
      <c r="AF453" s="721">
        <f t="shared" si="57"/>
        <v>1.4800958946758494E-2</v>
      </c>
    </row>
    <row r="454" spans="1:32">
      <c r="A454" s="103" t="s">
        <v>937</v>
      </c>
      <c r="B454" s="40" t="s">
        <v>938</v>
      </c>
      <c r="C454" s="40" t="s">
        <v>1398</v>
      </c>
      <c r="D454" s="40" t="s">
        <v>43</v>
      </c>
      <c r="E454" s="40" t="s">
        <v>44</v>
      </c>
      <c r="F454" s="40" t="s">
        <v>55</v>
      </c>
      <c r="G454" s="40" t="s">
        <v>1351</v>
      </c>
      <c r="H454" s="40" t="s">
        <v>62</v>
      </c>
      <c r="I454" s="40" t="s">
        <v>46</v>
      </c>
      <c r="J454" s="41">
        <v>2386712825.9451394</v>
      </c>
      <c r="K454" s="444" t="s">
        <v>934</v>
      </c>
      <c r="L454" s="444"/>
      <c r="M454" s="444"/>
      <c r="N454" s="444" t="s">
        <v>886</v>
      </c>
      <c r="O454" s="42">
        <v>2.9999999999999997E-4</v>
      </c>
      <c r="P454" s="444">
        <v>0.03</v>
      </c>
      <c r="Q454" s="434">
        <v>39945115.278447807</v>
      </c>
      <c r="R454" s="41">
        <v>35789196</v>
      </c>
      <c r="S454" s="672"/>
      <c r="T454" s="41">
        <v>457361.07321162126</v>
      </c>
      <c r="U454" s="41">
        <v>2384076.3004060714</v>
      </c>
      <c r="V454" s="41">
        <v>1269724.9704456883</v>
      </c>
      <c r="W454" s="672">
        <v>44756.934384430118</v>
      </c>
      <c r="X454" s="41"/>
      <c r="Y454" s="672"/>
      <c r="Z454" s="734">
        <v>6.8085399999999992E-3</v>
      </c>
      <c r="AA454" s="434">
        <f t="shared" si="56"/>
        <v>39900358.344063371</v>
      </c>
      <c r="AB454" s="42">
        <f t="shared" si="58"/>
        <v>0.89696427514227939</v>
      </c>
      <c r="AC454" s="42">
        <f t="shared" si="59"/>
        <v>5.97507490997456E-2</v>
      </c>
      <c r="AD454" s="42">
        <f t="shared" si="60"/>
        <v>1.4995183170320234E-2</v>
      </c>
      <c r="AE454" s="42">
        <f t="shared" si="61"/>
        <v>9.9889533189313458E-4</v>
      </c>
      <c r="AF454" s="721">
        <f t="shared" si="57"/>
        <v>2.3526243910717792E-2</v>
      </c>
    </row>
    <row r="455" spans="1:32">
      <c r="A455" s="103" t="s">
        <v>939</v>
      </c>
      <c r="B455" s="40" t="s">
        <v>940</v>
      </c>
      <c r="C455" s="40" t="s">
        <v>1398</v>
      </c>
      <c r="D455" s="40" t="s">
        <v>43</v>
      </c>
      <c r="E455" s="40" t="s">
        <v>44</v>
      </c>
      <c r="F455" s="40" t="s">
        <v>55</v>
      </c>
      <c r="G455" s="40" t="s">
        <v>1351</v>
      </c>
      <c r="H455" s="40" t="s">
        <v>62</v>
      </c>
      <c r="I455" s="40" t="s">
        <v>46</v>
      </c>
      <c r="J455" s="41">
        <v>526707536.61126894</v>
      </c>
      <c r="K455" s="444" t="s">
        <v>911</v>
      </c>
      <c r="L455" s="444"/>
      <c r="M455" s="444"/>
      <c r="N455" s="444" t="s">
        <v>886</v>
      </c>
      <c r="O455" s="42">
        <v>2.9999999999999997E-4</v>
      </c>
      <c r="P455" s="444">
        <v>0.03</v>
      </c>
      <c r="Q455" s="434">
        <v>4603163.7615521885</v>
      </c>
      <c r="R455" s="41">
        <v>3686022</v>
      </c>
      <c r="S455" s="672"/>
      <c r="T455" s="41">
        <v>100931.9267883787</v>
      </c>
      <c r="U455" s="41">
        <v>526125.69959392888</v>
      </c>
      <c r="V455" s="41">
        <v>280207.02955431177</v>
      </c>
      <c r="W455" s="672">
        <v>9877.1056155698789</v>
      </c>
      <c r="X455" s="41"/>
      <c r="Y455" s="672"/>
      <c r="Z455" s="734">
        <v>6.8085399999999992E-3</v>
      </c>
      <c r="AA455" s="434">
        <f t="shared" si="56"/>
        <v>4593286.6559366193</v>
      </c>
      <c r="AB455" s="42">
        <f t="shared" si="58"/>
        <v>0.80248028832164875</v>
      </c>
      <c r="AC455" s="42">
        <f t="shared" si="59"/>
        <v>0.11454231773537032</v>
      </c>
      <c r="AD455" s="42">
        <f t="shared" si="60"/>
        <v>6.9982328783733169E-3</v>
      </c>
      <c r="AE455" s="42">
        <f t="shared" si="61"/>
        <v>9.9889533189313458E-4</v>
      </c>
      <c r="AF455" s="721">
        <f t="shared" si="57"/>
        <v>1.5529293618770878E-2</v>
      </c>
    </row>
    <row r="456" spans="1:32">
      <c r="A456" s="103" t="s">
        <v>941</v>
      </c>
      <c r="B456" s="40" t="s">
        <v>942</v>
      </c>
      <c r="C456" s="40" t="s">
        <v>1398</v>
      </c>
      <c r="D456" s="40" t="s">
        <v>43</v>
      </c>
      <c r="E456" s="40" t="s">
        <v>621</v>
      </c>
      <c r="F456" s="40" t="s">
        <v>884</v>
      </c>
      <c r="G456" s="40" t="s">
        <v>884</v>
      </c>
      <c r="H456" s="40" t="s">
        <v>45</v>
      </c>
      <c r="I456" s="40" t="s">
        <v>46</v>
      </c>
      <c r="J456" s="41">
        <v>6391505263.9561644</v>
      </c>
      <c r="K456" s="444" t="s">
        <v>943</v>
      </c>
      <c r="L456" s="444"/>
      <c r="M456" s="444"/>
      <c r="N456" s="444" t="s">
        <v>886</v>
      </c>
      <c r="O456" s="42">
        <v>2.5000000000000001E-4</v>
      </c>
      <c r="P456" s="444"/>
      <c r="Q456" s="434">
        <v>111675535.98</v>
      </c>
      <c r="R456" s="41">
        <v>102325614</v>
      </c>
      <c r="S456" s="672"/>
      <c r="T456" s="41"/>
      <c r="U456" s="41">
        <v>6395352</v>
      </c>
      <c r="V456" s="41">
        <v>2423547</v>
      </c>
      <c r="W456" s="672">
        <v>531022.98</v>
      </c>
      <c r="X456" s="41"/>
      <c r="Y456" s="672"/>
      <c r="Z456" s="734"/>
      <c r="AA456" s="434">
        <f t="shared" si="56"/>
        <v>111144513</v>
      </c>
      <c r="AB456" s="42">
        <f t="shared" si="58"/>
        <v>0.92065376182808056</v>
      </c>
      <c r="AC456" s="42">
        <f t="shared" si="59"/>
        <v>5.7540870236212203E-2</v>
      </c>
      <c r="AD456" s="42">
        <f t="shared" si="60"/>
        <v>1.6009626805292387E-2</v>
      </c>
      <c r="AE456" s="42">
        <f t="shared" si="61"/>
        <v>1.0006018513456492E-3</v>
      </c>
      <c r="AF456" s="721">
        <f t="shared" si="57"/>
        <v>1.7389411165282313E-2</v>
      </c>
    </row>
    <row r="457" spans="1:32">
      <c r="A457" s="103" t="s">
        <v>944</v>
      </c>
      <c r="B457" s="40" t="s">
        <v>945</v>
      </c>
      <c r="C457" s="40" t="s">
        <v>1398</v>
      </c>
      <c r="D457" s="40" t="s">
        <v>43</v>
      </c>
      <c r="E457" s="40" t="s">
        <v>621</v>
      </c>
      <c r="F457" s="40" t="s">
        <v>884</v>
      </c>
      <c r="G457" s="40" t="s">
        <v>884</v>
      </c>
      <c r="H457" s="40" t="s">
        <v>45</v>
      </c>
      <c r="I457" s="40" t="s">
        <v>46</v>
      </c>
      <c r="J457" s="41">
        <v>6268832438.5013695</v>
      </c>
      <c r="K457" s="444" t="s">
        <v>946</v>
      </c>
      <c r="L457" s="444"/>
      <c r="M457" s="444"/>
      <c r="N457" s="444" t="s">
        <v>886</v>
      </c>
      <c r="O457" s="42">
        <v>2.5000000000000001E-4</v>
      </c>
      <c r="P457" s="444"/>
      <c r="Q457" s="434">
        <v>121896335.05</v>
      </c>
      <c r="R457" s="41">
        <v>112890308</v>
      </c>
      <c r="S457" s="672"/>
      <c r="T457" s="41"/>
      <c r="U457" s="41">
        <v>6276209</v>
      </c>
      <c r="V457" s="41">
        <v>2392548</v>
      </c>
      <c r="W457" s="672">
        <v>337270.05</v>
      </c>
      <c r="X457" s="41"/>
      <c r="Y457" s="672"/>
      <c r="Z457" s="734"/>
      <c r="AA457" s="434">
        <f t="shared" si="56"/>
        <v>121559065</v>
      </c>
      <c r="AB457" s="42">
        <f t="shared" si="58"/>
        <v>0.92868687333190658</v>
      </c>
      <c r="AC457" s="42">
        <f t="shared" si="59"/>
        <v>5.1630941715453307E-2</v>
      </c>
      <c r="AD457" s="42">
        <f t="shared" si="60"/>
        <v>1.800818718756305E-2</v>
      </c>
      <c r="AE457" s="42">
        <f t="shared" si="61"/>
        <v>1.0011767042062451E-3</v>
      </c>
      <c r="AF457" s="721">
        <f t="shared" si="57"/>
        <v>1.9391021564624876E-2</v>
      </c>
    </row>
    <row r="458" spans="1:32">
      <c r="A458" s="103" t="s">
        <v>947</v>
      </c>
      <c r="B458" s="40" t="s">
        <v>948</v>
      </c>
      <c r="C458" s="40" t="s">
        <v>1398</v>
      </c>
      <c r="D458" s="40" t="s">
        <v>43</v>
      </c>
      <c r="E458" s="40" t="s">
        <v>621</v>
      </c>
      <c r="F458" s="40" t="s">
        <v>884</v>
      </c>
      <c r="G458" s="40" t="s">
        <v>884</v>
      </c>
      <c r="H458" s="40" t="s">
        <v>45</v>
      </c>
      <c r="I458" s="40" t="s">
        <v>46</v>
      </c>
      <c r="J458" s="41">
        <v>2062382076.182656</v>
      </c>
      <c r="K458" s="444" t="s">
        <v>891</v>
      </c>
      <c r="L458" s="444"/>
      <c r="M458" s="444"/>
      <c r="N458" s="444" t="s">
        <v>886</v>
      </c>
      <c r="O458" s="42">
        <v>2.5000000000000001E-4</v>
      </c>
      <c r="P458" s="444"/>
      <c r="Q458" s="434">
        <v>39150482.889828019</v>
      </c>
      <c r="R458" s="41">
        <v>35473114.422090217</v>
      </c>
      <c r="S458" s="672"/>
      <c r="T458" s="41"/>
      <c r="U458" s="41">
        <v>2062391.2906842553</v>
      </c>
      <c r="V458" s="41">
        <v>1336846.734172978</v>
      </c>
      <c r="W458" s="672">
        <v>278130.44288057537</v>
      </c>
      <c r="X458" s="41"/>
      <c r="Y458" s="672"/>
      <c r="Z458" s="734"/>
      <c r="AA458" s="434">
        <f t="shared" si="56"/>
        <v>38872352.446947448</v>
      </c>
      <c r="AB458" s="42">
        <f t="shared" si="58"/>
        <v>0.91255383811678303</v>
      </c>
      <c r="AC458" s="42">
        <f t="shared" si="59"/>
        <v>5.3055479302390664E-2</v>
      </c>
      <c r="AD458" s="42">
        <f t="shared" si="60"/>
        <v>1.7200069197531427E-2</v>
      </c>
      <c r="AE458" s="42">
        <f t="shared" si="61"/>
        <v>1.0000044678925915E-3</v>
      </c>
      <c r="AF458" s="721">
        <f t="shared" si="57"/>
        <v>1.8848278840212677E-2</v>
      </c>
    </row>
    <row r="459" spans="1:32">
      <c r="A459" s="103" t="s">
        <v>949</v>
      </c>
      <c r="B459" s="40" t="s">
        <v>950</v>
      </c>
      <c r="C459" s="40" t="s">
        <v>1398</v>
      </c>
      <c r="D459" s="40" t="s">
        <v>43</v>
      </c>
      <c r="E459" s="40" t="s">
        <v>621</v>
      </c>
      <c r="F459" s="40" t="s">
        <v>884</v>
      </c>
      <c r="G459" s="40" t="s">
        <v>884</v>
      </c>
      <c r="H459" s="40" t="s">
        <v>45</v>
      </c>
      <c r="I459" s="40" t="s">
        <v>46</v>
      </c>
      <c r="J459" s="41">
        <v>2901890.0753698624</v>
      </c>
      <c r="K459" s="444" t="s">
        <v>891</v>
      </c>
      <c r="L459" s="444"/>
      <c r="M459" s="444"/>
      <c r="N459" s="444" t="s">
        <v>886</v>
      </c>
      <c r="O459" s="42">
        <v>2.5000000000000001E-4</v>
      </c>
      <c r="P459" s="444"/>
      <c r="Q459" s="434">
        <v>55387.03017197537</v>
      </c>
      <c r="R459" s="41">
        <v>50184.577909784144</v>
      </c>
      <c r="S459" s="672"/>
      <c r="T459" s="41"/>
      <c r="U459" s="41">
        <v>2917.7093157445302</v>
      </c>
      <c r="V459" s="41">
        <v>1891.2658270221075</v>
      </c>
      <c r="W459" s="672">
        <v>393.47711942459182</v>
      </c>
      <c r="X459" s="41"/>
      <c r="Y459" s="672"/>
      <c r="Z459" s="734"/>
      <c r="AA459" s="434">
        <f t="shared" si="56"/>
        <v>54993.553052550778</v>
      </c>
      <c r="AB459" s="42">
        <f t="shared" si="58"/>
        <v>0.91255383811678303</v>
      </c>
      <c r="AC459" s="42">
        <f t="shared" si="59"/>
        <v>5.3055479302390657E-2</v>
      </c>
      <c r="AD459" s="42">
        <f t="shared" si="60"/>
        <v>1.7293755657987093E-2</v>
      </c>
      <c r="AE459" s="42">
        <f t="shared" si="61"/>
        <v>1.0054513575510442E-3</v>
      </c>
      <c r="AF459" s="721">
        <f t="shared" si="57"/>
        <v>1.8950942876615178E-2</v>
      </c>
    </row>
    <row r="460" spans="1:32">
      <c r="A460" s="103" t="s">
        <v>951</v>
      </c>
      <c r="B460" s="40" t="s">
        <v>952</v>
      </c>
      <c r="C460" s="40" t="s">
        <v>1398</v>
      </c>
      <c r="D460" s="40" t="s">
        <v>43</v>
      </c>
      <c r="E460" s="40" t="s">
        <v>621</v>
      </c>
      <c r="F460" s="40" t="s">
        <v>884</v>
      </c>
      <c r="G460" s="40" t="s">
        <v>884</v>
      </c>
      <c r="H460" s="40" t="s">
        <v>45</v>
      </c>
      <c r="I460" s="40" t="s">
        <v>46</v>
      </c>
      <c r="J460" s="41">
        <v>4623658671.9670763</v>
      </c>
      <c r="K460" s="444" t="s">
        <v>891</v>
      </c>
      <c r="L460" s="444"/>
      <c r="M460" s="444"/>
      <c r="N460" s="444" t="s">
        <v>886</v>
      </c>
      <c r="O460" s="42">
        <v>2.5000000000000001E-4</v>
      </c>
      <c r="P460" s="444"/>
      <c r="Q460" s="434">
        <v>99395637.790913954</v>
      </c>
      <c r="R460" s="41">
        <v>92477823.83776556</v>
      </c>
      <c r="S460" s="672"/>
      <c r="T460" s="41"/>
      <c r="U460" s="41">
        <v>4623891.541564648</v>
      </c>
      <c r="V460" s="41">
        <v>1978906.5019973721</v>
      </c>
      <c r="W460" s="672">
        <v>315015.90958636446</v>
      </c>
      <c r="X460" s="41"/>
      <c r="Y460" s="672"/>
      <c r="Z460" s="734"/>
      <c r="AA460" s="434">
        <f t="shared" si="56"/>
        <v>99080621.881327569</v>
      </c>
      <c r="AB460" s="42">
        <f t="shared" si="58"/>
        <v>0.93335933991744202</v>
      </c>
      <c r="AC460" s="42">
        <f t="shared" si="59"/>
        <v>4.6667970525082592E-2</v>
      </c>
      <c r="AD460" s="42">
        <f t="shared" si="60"/>
        <v>2.0001005783245252E-2</v>
      </c>
      <c r="AE460" s="42">
        <f t="shared" si="61"/>
        <v>1.0000503647898977E-3</v>
      </c>
      <c r="AF460" s="721">
        <f t="shared" si="57"/>
        <v>2.1429051950146438E-2</v>
      </c>
    </row>
    <row r="461" spans="1:32">
      <c r="A461" s="103" t="s">
        <v>953</v>
      </c>
      <c r="B461" s="40" t="s">
        <v>954</v>
      </c>
      <c r="C461" s="40" t="s">
        <v>1398</v>
      </c>
      <c r="D461" s="40" t="s">
        <v>43</v>
      </c>
      <c r="E461" s="40" t="s">
        <v>621</v>
      </c>
      <c r="F461" s="40" t="s">
        <v>884</v>
      </c>
      <c r="G461" s="40" t="s">
        <v>884</v>
      </c>
      <c r="H461" s="40" t="s">
        <v>45</v>
      </c>
      <c r="I461" s="40" t="s">
        <v>46</v>
      </c>
      <c r="J461" s="41">
        <v>4284771.5433972636</v>
      </c>
      <c r="K461" s="444" t="s">
        <v>891</v>
      </c>
      <c r="L461" s="444"/>
      <c r="M461" s="444"/>
      <c r="N461" s="444" t="s">
        <v>886</v>
      </c>
      <c r="O461" s="42">
        <v>2.5000000000000001E-4</v>
      </c>
      <c r="P461" s="444"/>
      <c r="Q461" s="434">
        <v>91991.669086066438</v>
      </c>
      <c r="R461" s="41">
        <v>85589.162234451127</v>
      </c>
      <c r="S461" s="672"/>
      <c r="T461" s="41"/>
      <c r="U461" s="41">
        <v>4279.4584353515775</v>
      </c>
      <c r="V461" s="41">
        <v>1831.4980026281255</v>
      </c>
      <c r="W461" s="672">
        <v>291.5504136355982</v>
      </c>
      <c r="X461" s="41"/>
      <c r="Y461" s="672"/>
      <c r="Z461" s="734"/>
      <c r="AA461" s="434">
        <f t="shared" si="56"/>
        <v>91700.118672430835</v>
      </c>
      <c r="AB461" s="42">
        <f t="shared" si="58"/>
        <v>0.9333593399174418</v>
      </c>
      <c r="AC461" s="42">
        <f t="shared" si="59"/>
        <v>4.6667970525082585E-2</v>
      </c>
      <c r="AD461" s="42">
        <f t="shared" si="60"/>
        <v>1.9975198529859101E-2</v>
      </c>
      <c r="AE461" s="42">
        <f t="shared" si="61"/>
        <v>9.9876000202300786E-4</v>
      </c>
      <c r="AF461" s="721">
        <f t="shared" si="57"/>
        <v>2.1401402091959523E-2</v>
      </c>
    </row>
    <row r="462" spans="1:32">
      <c r="A462" s="103" t="s">
        <v>955</v>
      </c>
      <c r="B462" s="40" t="s">
        <v>956</v>
      </c>
      <c r="C462" s="40" t="s">
        <v>1398</v>
      </c>
      <c r="D462" s="40" t="s">
        <v>43</v>
      </c>
      <c r="E462" s="40" t="s">
        <v>44</v>
      </c>
      <c r="F462" s="40" t="s">
        <v>1348</v>
      </c>
      <c r="G462" s="40" t="s">
        <v>97</v>
      </c>
      <c r="H462" s="40" t="s">
        <v>45</v>
      </c>
      <c r="I462" s="40" t="s">
        <v>46</v>
      </c>
      <c r="J462" s="41">
        <v>3295271139.7948256</v>
      </c>
      <c r="K462" s="444" t="s">
        <v>957</v>
      </c>
      <c r="L462" s="444" t="s">
        <v>958</v>
      </c>
      <c r="M462" s="444" t="s">
        <v>108</v>
      </c>
      <c r="N462" s="444" t="s">
        <v>886</v>
      </c>
      <c r="O462" s="42">
        <v>2.9999999999999997E-4</v>
      </c>
      <c r="P462" s="444"/>
      <c r="Q462" s="434">
        <v>47066994.079366982</v>
      </c>
      <c r="R462" s="41">
        <v>41159122</v>
      </c>
      <c r="S462" s="672"/>
      <c r="T462" s="41">
        <v>638865.94164104201</v>
      </c>
      <c r="U462" s="41">
        <v>3289463.687037929</v>
      </c>
      <c r="V462" s="41">
        <v>1639791.7826888431</v>
      </c>
      <c r="W462" s="672">
        <v>339750.66799916833</v>
      </c>
      <c r="X462" s="41"/>
      <c r="Y462" s="672"/>
      <c r="Z462" s="734"/>
      <c r="AA462" s="434">
        <f t="shared" si="56"/>
        <v>46727243.411367811</v>
      </c>
      <c r="AB462" s="42">
        <f t="shared" si="58"/>
        <v>0.88083779386795158</v>
      </c>
      <c r="AC462" s="42">
        <f t="shared" si="59"/>
        <v>7.0397126962504872E-2</v>
      </c>
      <c r="AD462" s="42">
        <f t="shared" si="60"/>
        <v>1.2490359747016963E-2</v>
      </c>
      <c r="AE462" s="42">
        <f t="shared" si="61"/>
        <v>9.9823764039117641E-4</v>
      </c>
      <c r="AF462" s="721">
        <f t="shared" si="57"/>
        <v>1.418009062959147E-2</v>
      </c>
    </row>
    <row r="463" spans="1:32">
      <c r="A463" s="103" t="s">
        <v>959</v>
      </c>
      <c r="B463" s="40" t="s">
        <v>960</v>
      </c>
      <c r="C463" s="40" t="s">
        <v>1398</v>
      </c>
      <c r="D463" s="40" t="s">
        <v>43</v>
      </c>
      <c r="E463" s="40" t="s">
        <v>44</v>
      </c>
      <c r="F463" s="40" t="s">
        <v>1348</v>
      </c>
      <c r="G463" s="40" t="s">
        <v>97</v>
      </c>
      <c r="H463" s="40" t="s">
        <v>45</v>
      </c>
      <c r="I463" s="40" t="s">
        <v>46</v>
      </c>
      <c r="J463" s="41">
        <v>2176102671.4952292</v>
      </c>
      <c r="K463" s="444" t="s">
        <v>916</v>
      </c>
      <c r="L463" s="444" t="s">
        <v>958</v>
      </c>
      <c r="M463" s="444" t="s">
        <v>108</v>
      </c>
      <c r="N463" s="444" t="s">
        <v>929</v>
      </c>
      <c r="O463" s="42">
        <v>2.9999999999999997E-4</v>
      </c>
      <c r="P463" s="444"/>
      <c r="Q463" s="434">
        <v>32953469.899867013</v>
      </c>
      <c r="R463" s="41">
        <v>28178939</v>
      </c>
      <c r="S463" s="672"/>
      <c r="T463" s="41">
        <v>546162.10566051258</v>
      </c>
      <c r="U463" s="41">
        <v>2166135.5193240545</v>
      </c>
      <c r="V463" s="41">
        <v>1414617.0281752227</v>
      </c>
      <c r="W463" s="672">
        <v>647616.24670722114</v>
      </c>
      <c r="X463" s="41"/>
      <c r="Y463" s="672"/>
      <c r="Z463" s="734"/>
      <c r="AA463" s="434">
        <f t="shared" si="56"/>
        <v>32305853.65315979</v>
      </c>
      <c r="AB463" s="42">
        <f t="shared" si="58"/>
        <v>0.87225489542957357</v>
      </c>
      <c r="AC463" s="42">
        <f t="shared" si="59"/>
        <v>6.7050867702800596E-2</v>
      </c>
      <c r="AD463" s="42">
        <f t="shared" si="60"/>
        <v>1.2949269062124662E-2</v>
      </c>
      <c r="AE463" s="42">
        <f t="shared" si="61"/>
        <v>9.9541972338817726E-4</v>
      </c>
      <c r="AF463" s="721">
        <f t="shared" si="57"/>
        <v>1.4845739622644738E-2</v>
      </c>
    </row>
    <row r="464" spans="1:32">
      <c r="A464" s="103" t="s">
        <v>961</v>
      </c>
      <c r="B464" s="40" t="s">
        <v>962</v>
      </c>
      <c r="C464" s="40" t="s">
        <v>1398</v>
      </c>
      <c r="D464" s="40" t="s">
        <v>43</v>
      </c>
      <c r="E464" s="40" t="s">
        <v>44</v>
      </c>
      <c r="F464" s="40" t="s">
        <v>1348</v>
      </c>
      <c r="G464" s="40" t="s">
        <v>97</v>
      </c>
      <c r="H464" s="40" t="s">
        <v>45</v>
      </c>
      <c r="I464" s="40" t="s">
        <v>46</v>
      </c>
      <c r="J464" s="41">
        <v>18805263257.907589</v>
      </c>
      <c r="K464" s="444" t="s">
        <v>957</v>
      </c>
      <c r="L464" s="444" t="s">
        <v>958</v>
      </c>
      <c r="M464" s="444" t="s">
        <v>108</v>
      </c>
      <c r="N464" s="444" t="s">
        <v>886</v>
      </c>
      <c r="O464" s="42">
        <v>2.9999999999999997E-4</v>
      </c>
      <c r="P464" s="444"/>
      <c r="Q464" s="434">
        <v>276406996.15386856</v>
      </c>
      <c r="R464" s="41">
        <v>247602034</v>
      </c>
      <c r="S464" s="672"/>
      <c r="T464" s="41">
        <v>3945418.7852160325</v>
      </c>
      <c r="U464" s="41">
        <v>18833494.50770779</v>
      </c>
      <c r="V464" s="41">
        <v>5517399.4354675785</v>
      </c>
      <c r="W464" s="672">
        <v>508649.42547712906</v>
      </c>
      <c r="X464" s="41"/>
      <c r="Y464" s="672"/>
      <c r="Z464" s="734"/>
      <c r="AA464" s="434">
        <f t="shared" ref="AA464:AA474" si="62">+R464+T464+U464+V464+X464</f>
        <v>275898346.72839141</v>
      </c>
      <c r="AB464" s="42">
        <f t="shared" si="58"/>
        <v>0.8974393537912434</v>
      </c>
      <c r="AC464" s="42">
        <f t="shared" si="59"/>
        <v>6.8262440609143826E-2</v>
      </c>
      <c r="AD464" s="42">
        <f t="shared" si="60"/>
        <v>1.3166634819423954E-2</v>
      </c>
      <c r="AE464" s="42">
        <f t="shared" si="61"/>
        <v>1.0015012419349316E-3</v>
      </c>
      <c r="AF464" s="721">
        <f t="shared" ref="AF464:AF473" si="63">+(AA464/J464)+Z464</f>
        <v>1.4671336579793772E-2</v>
      </c>
    </row>
    <row r="465" spans="1:32">
      <c r="A465" s="103" t="s">
        <v>963</v>
      </c>
      <c r="B465" s="40" t="s">
        <v>964</v>
      </c>
      <c r="C465" s="40" t="s">
        <v>1398</v>
      </c>
      <c r="D465" s="40" t="s">
        <v>43</v>
      </c>
      <c r="E465" s="40" t="s">
        <v>44</v>
      </c>
      <c r="F465" s="40" t="s">
        <v>1348</v>
      </c>
      <c r="G465" s="40" t="s">
        <v>365</v>
      </c>
      <c r="H465" s="40" t="s">
        <v>45</v>
      </c>
      <c r="I465" s="40" t="s">
        <v>46</v>
      </c>
      <c r="J465" s="41">
        <v>107049894.76712328</v>
      </c>
      <c r="K465" s="465">
        <v>2.3500000000000001E-3</v>
      </c>
      <c r="L465" s="444"/>
      <c r="M465" s="444"/>
      <c r="N465" s="444" t="s">
        <v>965</v>
      </c>
      <c r="O465" s="42">
        <v>2.5000000000000001E-4</v>
      </c>
      <c r="P465" s="444"/>
      <c r="Q465" s="434">
        <v>326654</v>
      </c>
      <c r="R465" s="41">
        <v>251542</v>
      </c>
      <c r="S465" s="672"/>
      <c r="T465" s="41"/>
      <c r="U465" s="41">
        <v>42814</v>
      </c>
      <c r="V465" s="41">
        <v>28000</v>
      </c>
      <c r="W465" s="672">
        <v>4298</v>
      </c>
      <c r="X465" s="41"/>
      <c r="Y465" s="672"/>
      <c r="Z465" s="734"/>
      <c r="AA465" s="434">
        <f t="shared" si="62"/>
        <v>322356</v>
      </c>
      <c r="AB465" s="42">
        <f t="shared" si="58"/>
        <v>0.78032361736713451</v>
      </c>
      <c r="AC465" s="42">
        <f t="shared" si="59"/>
        <v>0.13281589298787674</v>
      </c>
      <c r="AD465" s="42">
        <f t="shared" si="60"/>
        <v>2.3497641034323793E-3</v>
      </c>
      <c r="AE465" s="42">
        <f t="shared" si="61"/>
        <v>3.9994434458004582E-4</v>
      </c>
      <c r="AF465" s="721">
        <f t="shared" si="63"/>
        <v>3.0112687238156972E-3</v>
      </c>
    </row>
    <row r="466" spans="1:32">
      <c r="A466" s="103" t="s">
        <v>966</v>
      </c>
      <c r="B466" s="40" t="s">
        <v>967</v>
      </c>
      <c r="C466" s="40" t="s">
        <v>1398</v>
      </c>
      <c r="D466" s="40" t="s">
        <v>43</v>
      </c>
      <c r="E466" s="40" t="s">
        <v>44</v>
      </c>
      <c r="F466" s="40" t="s">
        <v>1348</v>
      </c>
      <c r="G466" s="40" t="s">
        <v>97</v>
      </c>
      <c r="H466" s="40" t="s">
        <v>45</v>
      </c>
      <c r="I466" s="40" t="s">
        <v>46</v>
      </c>
      <c r="J466" s="41">
        <v>5368226973.3890409</v>
      </c>
      <c r="K466" s="444">
        <v>3.0000000000000001E-3</v>
      </c>
      <c r="L466" s="444"/>
      <c r="M466" s="444"/>
      <c r="N466" s="444" t="s">
        <v>965</v>
      </c>
      <c r="O466" s="42">
        <v>2.5000000000000001E-4</v>
      </c>
      <c r="P466" s="444"/>
      <c r="Q466" s="434">
        <v>17499423.07</v>
      </c>
      <c r="R466" s="41">
        <v>13106131</v>
      </c>
      <c r="S466" s="672"/>
      <c r="T466" s="41"/>
      <c r="U466" s="41">
        <v>2330221</v>
      </c>
      <c r="V466" s="41">
        <v>1342082</v>
      </c>
      <c r="W466" s="672">
        <v>720989.07</v>
      </c>
      <c r="X466" s="41"/>
      <c r="Y466" s="672"/>
      <c r="Z466" s="734"/>
      <c r="AA466" s="434">
        <f t="shared" si="62"/>
        <v>16778434</v>
      </c>
      <c r="AB466" s="42">
        <f t="shared" si="58"/>
        <v>0.78112957383269499</v>
      </c>
      <c r="AC466" s="42">
        <f t="shared" si="59"/>
        <v>0.13888191234056765</v>
      </c>
      <c r="AD466" s="42">
        <f t="shared" si="60"/>
        <v>2.4414263899363233E-3</v>
      </c>
      <c r="AE466" s="42">
        <f t="shared" si="61"/>
        <v>4.3407646724909194E-4</v>
      </c>
      <c r="AF466" s="721">
        <f t="shared" si="63"/>
        <v>3.1255075620261127E-3</v>
      </c>
    </row>
    <row r="467" spans="1:32">
      <c r="A467" s="451" t="s">
        <v>968</v>
      </c>
      <c r="B467" s="452" t="s">
        <v>969</v>
      </c>
      <c r="C467" s="452" t="s">
        <v>1399</v>
      </c>
      <c r="D467" s="40" t="s">
        <v>43</v>
      </c>
      <c r="E467" s="40" t="s">
        <v>44</v>
      </c>
      <c r="F467" s="40" t="s">
        <v>1348</v>
      </c>
      <c r="G467" s="40" t="s">
        <v>365</v>
      </c>
      <c r="H467" s="40" t="s">
        <v>45</v>
      </c>
      <c r="I467" s="40" t="s">
        <v>46</v>
      </c>
      <c r="J467" s="449">
        <v>965007130</v>
      </c>
      <c r="K467" s="444">
        <v>8.0000000000000002E-3</v>
      </c>
      <c r="L467" s="444"/>
      <c r="M467" s="444"/>
      <c r="N467" s="465">
        <v>2.2499999999999998E-3</v>
      </c>
      <c r="O467" s="42">
        <v>5.0000000000000001E-3</v>
      </c>
      <c r="P467" s="444"/>
      <c r="Q467" s="434">
        <v>17127495</v>
      </c>
      <c r="R467" s="449">
        <v>7886287</v>
      </c>
      <c r="S467" s="672"/>
      <c r="T467" s="449">
        <v>547162</v>
      </c>
      <c r="U467" s="449">
        <v>2179545</v>
      </c>
      <c r="V467" s="41">
        <v>5924451</v>
      </c>
      <c r="W467" s="672">
        <v>590050</v>
      </c>
      <c r="X467" s="449"/>
      <c r="Y467" s="672"/>
      <c r="Z467" s="735"/>
      <c r="AA467" s="434">
        <f t="shared" si="62"/>
        <v>16537445</v>
      </c>
      <c r="AB467" s="448">
        <f t="shared" si="58"/>
        <v>0.47687457161611119</v>
      </c>
      <c r="AC467" s="448">
        <f t="shared" si="59"/>
        <v>0.13179454262735266</v>
      </c>
      <c r="AD467" s="448">
        <f t="shared" si="60"/>
        <v>8.1722577531629214E-3</v>
      </c>
      <c r="AE467" s="448">
        <f t="shared" si="61"/>
        <v>2.2585791671819047E-3</v>
      </c>
      <c r="AF467" s="720">
        <f t="shared" si="63"/>
        <v>1.7137122085305215E-2</v>
      </c>
    </row>
    <row r="468" spans="1:32">
      <c r="A468" s="451" t="s">
        <v>972</v>
      </c>
      <c r="B468" s="452" t="s">
        <v>973</v>
      </c>
      <c r="C468" s="452" t="s">
        <v>1399</v>
      </c>
      <c r="D468" s="40" t="s">
        <v>43</v>
      </c>
      <c r="E468" s="40" t="s">
        <v>44</v>
      </c>
      <c r="F468" s="40" t="s">
        <v>1348</v>
      </c>
      <c r="G468" s="40" t="s">
        <v>759</v>
      </c>
      <c r="H468" s="40" t="s">
        <v>45</v>
      </c>
      <c r="I468" s="40" t="s">
        <v>46</v>
      </c>
      <c r="J468" s="449">
        <v>371841414</v>
      </c>
      <c r="K468" s="444">
        <v>5.0000000000000001E-3</v>
      </c>
      <c r="L468" s="444"/>
      <c r="M468" s="444"/>
      <c r="N468" s="444">
        <v>2.5000000000000001E-3</v>
      </c>
      <c r="O468" s="42">
        <v>5.0000000000000001E-3</v>
      </c>
      <c r="P468" s="444"/>
      <c r="Q468" s="434">
        <v>5775647</v>
      </c>
      <c r="R468" s="449">
        <v>1916259</v>
      </c>
      <c r="S468" s="672"/>
      <c r="T468" s="449">
        <v>189209</v>
      </c>
      <c r="U468" s="449">
        <v>934483</v>
      </c>
      <c r="V468" s="41">
        <v>2639789</v>
      </c>
      <c r="W468" s="672">
        <v>95907</v>
      </c>
      <c r="X468" s="449"/>
      <c r="Y468" s="672"/>
      <c r="Z468" s="735"/>
      <c r="AA468" s="434">
        <f t="shared" si="62"/>
        <v>5679740</v>
      </c>
      <c r="AB468" s="448">
        <f t="shared" si="58"/>
        <v>0.33738498593245464</v>
      </c>
      <c r="AC468" s="448">
        <f t="shared" si="59"/>
        <v>0.16452918619514273</v>
      </c>
      <c r="AD468" s="448">
        <f t="shared" si="60"/>
        <v>5.1534308117707405E-3</v>
      </c>
      <c r="AE468" s="448">
        <f t="shared" si="61"/>
        <v>2.5131224355767969E-3</v>
      </c>
      <c r="AF468" s="720">
        <f t="shared" si="63"/>
        <v>1.5274629952864799E-2</v>
      </c>
    </row>
    <row r="469" spans="1:32">
      <c r="A469" s="451" t="s">
        <v>974</v>
      </c>
      <c r="B469" s="452" t="s">
        <v>975</v>
      </c>
      <c r="C469" s="452" t="s">
        <v>1399</v>
      </c>
      <c r="D469" s="40" t="s">
        <v>43</v>
      </c>
      <c r="E469" s="40" t="s">
        <v>44</v>
      </c>
      <c r="F469" s="40" t="s">
        <v>1348</v>
      </c>
      <c r="G469" s="40" t="s">
        <v>830</v>
      </c>
      <c r="H469" s="40" t="s">
        <v>45</v>
      </c>
      <c r="I469" s="40" t="s">
        <v>46</v>
      </c>
      <c r="J469" s="449">
        <v>150500254</v>
      </c>
      <c r="K469" s="444">
        <v>1.4999999999999999E-2</v>
      </c>
      <c r="L469" s="444"/>
      <c r="M469" s="444"/>
      <c r="N469" s="605" t="s">
        <v>976</v>
      </c>
      <c r="O469" s="42">
        <v>7.4999999999999997E-3</v>
      </c>
      <c r="P469" s="444"/>
      <c r="Q469" s="434">
        <v>5120656</v>
      </c>
      <c r="R469" s="449">
        <v>2293627</v>
      </c>
      <c r="S469" s="672"/>
      <c r="T469" s="449">
        <v>90435</v>
      </c>
      <c r="U469" s="449">
        <v>720000</v>
      </c>
      <c r="V469" s="41">
        <v>1384558</v>
      </c>
      <c r="W469" s="672">
        <v>632036</v>
      </c>
      <c r="X469" s="449"/>
      <c r="Y469" s="672"/>
      <c r="Z469" s="735"/>
      <c r="AA469" s="434">
        <f t="shared" si="62"/>
        <v>4488620</v>
      </c>
      <c r="AB469" s="448">
        <f t="shared" si="58"/>
        <v>0.5109871185353182</v>
      </c>
      <c r="AC469" s="448">
        <f t="shared" si="59"/>
        <v>0.16040564806109672</v>
      </c>
      <c r="AD469" s="448">
        <f t="shared" si="60"/>
        <v>1.5240020790928366E-2</v>
      </c>
      <c r="AE469" s="448">
        <f t="shared" si="61"/>
        <v>4.7840450820767384E-3</v>
      </c>
      <c r="AF469" s="720">
        <f t="shared" si="63"/>
        <v>2.9824667272654568E-2</v>
      </c>
    </row>
    <row r="470" spans="1:32">
      <c r="A470" s="451" t="s">
        <v>977</v>
      </c>
      <c r="B470" s="452" t="s">
        <v>978</v>
      </c>
      <c r="C470" s="452" t="s">
        <v>1399</v>
      </c>
      <c r="D470" s="40" t="s">
        <v>43</v>
      </c>
      <c r="E470" s="40" t="s">
        <v>44</v>
      </c>
      <c r="F470" s="40" t="s">
        <v>1348</v>
      </c>
      <c r="G470" s="40" t="s">
        <v>88</v>
      </c>
      <c r="H470" s="40" t="s">
        <v>45</v>
      </c>
      <c r="I470" s="40" t="s">
        <v>46</v>
      </c>
      <c r="J470" s="449">
        <v>126586590</v>
      </c>
      <c r="K470" s="444">
        <v>0.01</v>
      </c>
      <c r="L470" s="444"/>
      <c r="M470" s="444"/>
      <c r="N470" s="444">
        <v>2E-3</v>
      </c>
      <c r="O470" s="42">
        <v>5.0000000000000001E-3</v>
      </c>
      <c r="P470" s="444"/>
      <c r="Q470" s="434">
        <v>3263115</v>
      </c>
      <c r="R470" s="449">
        <v>1289359</v>
      </c>
      <c r="S470" s="672"/>
      <c r="T470" s="449">
        <v>64615</v>
      </c>
      <c r="U470" s="449">
        <v>254638</v>
      </c>
      <c r="V470" s="41">
        <v>1349466</v>
      </c>
      <c r="W470" s="672">
        <v>305037</v>
      </c>
      <c r="X470" s="449"/>
      <c r="Y470" s="672"/>
      <c r="Z470" s="735"/>
      <c r="AA470" s="434">
        <f t="shared" si="62"/>
        <v>2958078</v>
      </c>
      <c r="AB470" s="448">
        <f t="shared" si="58"/>
        <v>0.43587728247869056</v>
      </c>
      <c r="AC470" s="448">
        <f t="shared" si="59"/>
        <v>8.6082246647992383E-2</v>
      </c>
      <c r="AD470" s="448">
        <f t="shared" si="60"/>
        <v>1.0185589168647327E-2</v>
      </c>
      <c r="AE470" s="448">
        <f t="shared" si="61"/>
        <v>2.0115716838568763E-3</v>
      </c>
      <c r="AF470" s="721">
        <f t="shared" si="63"/>
        <v>2.3368020261861862E-2</v>
      </c>
    </row>
    <row r="471" spans="1:32">
      <c r="A471" s="451" t="s">
        <v>979</v>
      </c>
      <c r="B471" s="452" t="s">
        <v>980</v>
      </c>
      <c r="C471" s="452" t="s">
        <v>1399</v>
      </c>
      <c r="D471" s="40" t="s">
        <v>43</v>
      </c>
      <c r="E471" s="40" t="s">
        <v>44</v>
      </c>
      <c r="F471" s="40" t="s">
        <v>1348</v>
      </c>
      <c r="G471" s="40" t="s">
        <v>61</v>
      </c>
      <c r="H471" s="40" t="s">
        <v>45</v>
      </c>
      <c r="I471" s="40" t="s">
        <v>46</v>
      </c>
      <c r="J471" s="449">
        <v>261850195</v>
      </c>
      <c r="K471" s="444">
        <v>0.01</v>
      </c>
      <c r="L471" s="444"/>
      <c r="M471" s="444"/>
      <c r="N471" s="444">
        <v>2E-3</v>
      </c>
      <c r="O471" s="42">
        <v>5.0000000000000001E-3</v>
      </c>
      <c r="P471" s="444"/>
      <c r="Q471" s="434">
        <v>6311852</v>
      </c>
      <c r="R471" s="449">
        <v>2647028</v>
      </c>
      <c r="S471" s="672"/>
      <c r="T471" s="449">
        <v>74409</v>
      </c>
      <c r="U471" s="449">
        <v>525688</v>
      </c>
      <c r="V471" s="41">
        <v>2657884</v>
      </c>
      <c r="W471" s="672">
        <v>406843</v>
      </c>
      <c r="X471" s="449"/>
      <c r="Y471" s="672"/>
      <c r="Z471" s="735"/>
      <c r="AA471" s="434">
        <f t="shared" si="62"/>
        <v>5905009</v>
      </c>
      <c r="AB471" s="448">
        <f t="shared" si="58"/>
        <v>0.44826824142012317</v>
      </c>
      <c r="AC471" s="448">
        <f t="shared" si="59"/>
        <v>8.9024081080994119E-2</v>
      </c>
      <c r="AD471" s="448">
        <f t="shared" si="60"/>
        <v>1.0108940342778816E-2</v>
      </c>
      <c r="AE471" s="448">
        <f t="shared" si="61"/>
        <v>2.0075906378454293E-3</v>
      </c>
      <c r="AF471" s="721">
        <f t="shared" si="63"/>
        <v>2.2551096438939065E-2</v>
      </c>
    </row>
    <row r="472" spans="1:32">
      <c r="A472" s="451" t="s">
        <v>981</v>
      </c>
      <c r="B472" s="452" t="s">
        <v>982</v>
      </c>
      <c r="C472" s="452" t="s">
        <v>1399</v>
      </c>
      <c r="D472" s="40" t="s">
        <v>43</v>
      </c>
      <c r="E472" s="40" t="s">
        <v>44</v>
      </c>
      <c r="F472" s="40" t="s">
        <v>132</v>
      </c>
      <c r="G472" s="40" t="s">
        <v>116</v>
      </c>
      <c r="H472" s="40" t="s">
        <v>45</v>
      </c>
      <c r="I472" s="40" t="s">
        <v>46</v>
      </c>
      <c r="J472" s="449">
        <v>1505147645</v>
      </c>
      <c r="K472" s="444">
        <v>0.02</v>
      </c>
      <c r="L472" s="444"/>
      <c r="M472" s="444"/>
      <c r="N472" s="444">
        <v>2E-3</v>
      </c>
      <c r="O472" s="42">
        <v>5.0000000000000001E-3</v>
      </c>
      <c r="P472" s="444"/>
      <c r="Q472" s="434">
        <v>71290804</v>
      </c>
      <c r="R472" s="449">
        <v>30104225</v>
      </c>
      <c r="S472" s="672"/>
      <c r="T472" s="449"/>
      <c r="U472" s="449">
        <v>3010416</v>
      </c>
      <c r="V472" s="41">
        <v>18979855</v>
      </c>
      <c r="W472" s="672">
        <v>257680</v>
      </c>
      <c r="X472" s="449"/>
      <c r="Y472" s="672">
        <v>18938628</v>
      </c>
      <c r="Z472" s="735"/>
      <c r="AA472" s="434">
        <f t="shared" si="62"/>
        <v>52094496</v>
      </c>
      <c r="AB472" s="448">
        <f t="shared" si="58"/>
        <v>0.57787726749482327</v>
      </c>
      <c r="AC472" s="448">
        <f t="shared" si="59"/>
        <v>5.778760197622413E-2</v>
      </c>
      <c r="AD472" s="448">
        <f t="shared" si="60"/>
        <v>2.0000845166256099E-2</v>
      </c>
      <c r="AE472" s="448">
        <f t="shared" si="61"/>
        <v>2.0000801981123919E-3</v>
      </c>
      <c r="AF472" s="721">
        <f t="shared" si="63"/>
        <v>3.4610887624914696E-2</v>
      </c>
    </row>
    <row r="473" spans="1:32">
      <c r="A473" s="597" t="s">
        <v>983</v>
      </c>
      <c r="B473" s="450" t="s">
        <v>984</v>
      </c>
      <c r="C473" s="450" t="s">
        <v>1400</v>
      </c>
      <c r="D473" s="50" t="s">
        <v>43</v>
      </c>
      <c r="E473" s="50" t="s">
        <v>44</v>
      </c>
      <c r="F473" s="50" t="s">
        <v>1348</v>
      </c>
      <c r="G473" s="50" t="s">
        <v>641</v>
      </c>
      <c r="H473" s="50" t="s">
        <v>45</v>
      </c>
      <c r="I473" s="50" t="s">
        <v>46</v>
      </c>
      <c r="J473" s="41">
        <v>803882</v>
      </c>
      <c r="K473" s="52" t="s">
        <v>219</v>
      </c>
      <c r="L473" s="52"/>
      <c r="M473" s="50"/>
      <c r="N473" s="52">
        <v>3.5000000000000001E-3</v>
      </c>
      <c r="O473" s="641">
        <v>4.8329999999999998E-4</v>
      </c>
      <c r="P473" s="50"/>
      <c r="Q473" s="434">
        <v>10721</v>
      </c>
      <c r="R473" s="449">
        <v>8008</v>
      </c>
      <c r="S473" s="672"/>
      <c r="T473" s="449"/>
      <c r="U473" s="449">
        <v>283</v>
      </c>
      <c r="V473" s="41">
        <v>2374</v>
      </c>
      <c r="W473" s="672">
        <v>56</v>
      </c>
      <c r="X473" s="449"/>
      <c r="Y473" s="672"/>
      <c r="Z473" s="729"/>
      <c r="AA473" s="434">
        <f t="shared" si="62"/>
        <v>10665</v>
      </c>
      <c r="AB473" s="448">
        <f t="shared" si="58"/>
        <v>0.75086732301922177</v>
      </c>
      <c r="AC473" s="448">
        <f t="shared" si="59"/>
        <v>2.6535396155649319E-2</v>
      </c>
      <c r="AD473" s="448">
        <f t="shared" si="60"/>
        <v>9.9616610398043492E-3</v>
      </c>
      <c r="AE473" s="448">
        <f t="shared" si="61"/>
        <v>3.5204171756551334E-4</v>
      </c>
      <c r="AF473" s="721">
        <f t="shared" si="63"/>
        <v>1.3266872501187986E-2</v>
      </c>
    </row>
    <row r="474" spans="1:32">
      <c r="A474" s="597" t="s">
        <v>986</v>
      </c>
      <c r="B474" s="450" t="s">
        <v>987</v>
      </c>
      <c r="C474" s="450" t="s">
        <v>1400</v>
      </c>
      <c r="D474" s="948" t="s">
        <v>43</v>
      </c>
      <c r="E474" s="948" t="s">
        <v>44</v>
      </c>
      <c r="F474" s="948" t="s">
        <v>1348</v>
      </c>
      <c r="G474" s="948" t="s">
        <v>641</v>
      </c>
      <c r="H474" s="948" t="s">
        <v>45</v>
      </c>
      <c r="I474" s="450" t="s">
        <v>46</v>
      </c>
      <c r="J474" s="41">
        <v>13150384</v>
      </c>
      <c r="K474" s="52" t="s">
        <v>219</v>
      </c>
      <c r="L474" s="52"/>
      <c r="M474" s="50"/>
      <c r="N474" s="949">
        <v>3.5000000000000001E-3</v>
      </c>
      <c r="O474" s="950">
        <v>4.8329999999999998E-4</v>
      </c>
      <c r="P474" s="52"/>
      <c r="Q474" s="940">
        <v>204705</v>
      </c>
      <c r="R474" s="931">
        <v>192450</v>
      </c>
      <c r="S474" s="672"/>
      <c r="T474" s="449"/>
      <c r="U474" s="931">
        <v>5071</v>
      </c>
      <c r="V474" s="41">
        <v>7117</v>
      </c>
      <c r="W474" s="672">
        <v>35</v>
      </c>
      <c r="X474" s="931">
        <v>32</v>
      </c>
      <c r="Y474" s="930"/>
      <c r="Z474" s="843"/>
      <c r="AA474" s="940">
        <f t="shared" si="62"/>
        <v>204670</v>
      </c>
      <c r="AB474" s="843">
        <f t="shared" si="58"/>
        <v>0.94029413201739387</v>
      </c>
      <c r="AC474" s="843">
        <f t="shared" si="59"/>
        <v>2.4776469438608492E-2</v>
      </c>
      <c r="AD474" s="843">
        <f t="shared" si="60"/>
        <v>1.4634553637369069E-2</v>
      </c>
      <c r="AE474" s="843">
        <f t="shared" si="61"/>
        <v>3.8561611584878432E-4</v>
      </c>
      <c r="AF474" s="937">
        <f>+(AA474/(J474+J475+J476)+Z474)</f>
        <v>1.4185731262767816E-2</v>
      </c>
    </row>
    <row r="475" spans="1:32">
      <c r="A475" s="597" t="s">
        <v>988</v>
      </c>
      <c r="B475" s="450" t="s">
        <v>989</v>
      </c>
      <c r="C475" s="450" t="s">
        <v>1400</v>
      </c>
      <c r="D475" s="948"/>
      <c r="E475" s="948"/>
      <c r="F475" s="948"/>
      <c r="G475" s="948"/>
      <c r="H475" s="948"/>
      <c r="I475" s="450" t="s">
        <v>46</v>
      </c>
      <c r="J475" s="41">
        <v>123244</v>
      </c>
      <c r="K475" s="52" t="s">
        <v>990</v>
      </c>
      <c r="L475" s="52"/>
      <c r="M475" s="50"/>
      <c r="N475" s="949"/>
      <c r="O475" s="950"/>
      <c r="P475" s="52"/>
      <c r="Q475" s="940"/>
      <c r="R475" s="931"/>
      <c r="S475" s="672"/>
      <c r="T475" s="449"/>
      <c r="U475" s="931"/>
      <c r="V475" s="41">
        <v>0</v>
      </c>
      <c r="W475" s="672">
        <v>0</v>
      </c>
      <c r="X475" s="931"/>
      <c r="Y475" s="930"/>
      <c r="Z475" s="843"/>
      <c r="AA475" s="940"/>
      <c r="AB475" s="843" t="e">
        <f t="shared" si="58"/>
        <v>#DIV/0!</v>
      </c>
      <c r="AC475" s="843" t="e">
        <f t="shared" si="59"/>
        <v>#DIV/0!</v>
      </c>
      <c r="AD475" s="843">
        <f t="shared" si="60"/>
        <v>0</v>
      </c>
      <c r="AE475" s="843">
        <f t="shared" si="61"/>
        <v>0</v>
      </c>
      <c r="AF475" s="938"/>
    </row>
    <row r="476" spans="1:32">
      <c r="A476" s="597" t="s">
        <v>991</v>
      </c>
      <c r="B476" s="450" t="s">
        <v>992</v>
      </c>
      <c r="C476" s="450" t="s">
        <v>1400</v>
      </c>
      <c r="D476" s="948"/>
      <c r="E476" s="948"/>
      <c r="F476" s="948"/>
      <c r="G476" s="948"/>
      <c r="H476" s="948"/>
      <c r="I476" s="450" t="s">
        <v>46</v>
      </c>
      <c r="J476" s="41">
        <v>1154250</v>
      </c>
      <c r="K476" s="52">
        <v>0</v>
      </c>
      <c r="L476" s="52"/>
      <c r="M476" s="50"/>
      <c r="N476" s="949"/>
      <c r="O476" s="950"/>
      <c r="P476" s="52"/>
      <c r="Q476" s="940"/>
      <c r="R476" s="931"/>
      <c r="S476" s="672"/>
      <c r="T476" s="449"/>
      <c r="U476" s="931"/>
      <c r="V476" s="41">
        <v>0</v>
      </c>
      <c r="W476" s="672">
        <v>0</v>
      </c>
      <c r="X476" s="931"/>
      <c r="Y476" s="930"/>
      <c r="Z476" s="843"/>
      <c r="AA476" s="940"/>
      <c r="AB476" s="843" t="e">
        <f t="shared" si="58"/>
        <v>#DIV/0!</v>
      </c>
      <c r="AC476" s="843" t="e">
        <f t="shared" si="59"/>
        <v>#DIV/0!</v>
      </c>
      <c r="AD476" s="843">
        <f t="shared" si="60"/>
        <v>0</v>
      </c>
      <c r="AE476" s="843">
        <f t="shared" si="61"/>
        <v>0</v>
      </c>
      <c r="AF476" s="939"/>
    </row>
    <row r="477" spans="1:32">
      <c r="A477" s="597" t="s">
        <v>993</v>
      </c>
      <c r="B477" s="450" t="s">
        <v>994</v>
      </c>
      <c r="C477" s="450" t="s">
        <v>1400</v>
      </c>
      <c r="D477" s="948" t="s">
        <v>43</v>
      </c>
      <c r="E477" s="948" t="s">
        <v>44</v>
      </c>
      <c r="F477" s="948" t="s">
        <v>55</v>
      </c>
      <c r="G477" s="951" t="s">
        <v>830</v>
      </c>
      <c r="H477" s="948" t="s">
        <v>62</v>
      </c>
      <c r="I477" s="450" t="s">
        <v>46</v>
      </c>
      <c r="J477" s="41">
        <v>1786552</v>
      </c>
      <c r="K477" s="52" t="s">
        <v>219</v>
      </c>
      <c r="L477" s="52" t="s">
        <v>1373</v>
      </c>
      <c r="M477" s="50" t="s">
        <v>91</v>
      </c>
      <c r="N477" s="949">
        <v>3.5000000000000001E-3</v>
      </c>
      <c r="O477" s="950">
        <v>4.8329999999999998E-4</v>
      </c>
      <c r="P477" s="52"/>
      <c r="Q477" s="940">
        <v>26669</v>
      </c>
      <c r="R477" s="931">
        <v>22715</v>
      </c>
      <c r="S477" s="672"/>
      <c r="T477" s="449"/>
      <c r="U477" s="931">
        <v>739</v>
      </c>
      <c r="V477" s="41">
        <v>1857</v>
      </c>
      <c r="W477" s="672">
        <v>36</v>
      </c>
      <c r="X477" s="931">
        <v>1322</v>
      </c>
      <c r="Y477" s="930"/>
      <c r="Z477" s="843">
        <v>4.0000000000000001E-3</v>
      </c>
      <c r="AA477" s="940">
        <f>+R477+T477+U477+V477+X477</f>
        <v>26633</v>
      </c>
      <c r="AB477" s="843">
        <f t="shared" si="58"/>
        <v>0.85288927270679238</v>
      </c>
      <c r="AC477" s="843">
        <f t="shared" si="59"/>
        <v>2.7747531258213495E-2</v>
      </c>
      <c r="AD477" s="843">
        <f t="shared" si="60"/>
        <v>1.2714435404063246E-2</v>
      </c>
      <c r="AE477" s="843">
        <f t="shared" si="61"/>
        <v>4.1364595041174282E-4</v>
      </c>
      <c r="AF477" s="937">
        <f>+(AA477/(J477+J478))+Z477</f>
        <v>1.6627930518644606E-2</v>
      </c>
    </row>
    <row r="478" spans="1:32">
      <c r="A478" s="597" t="s">
        <v>997</v>
      </c>
      <c r="B478" s="450" t="s">
        <v>998</v>
      </c>
      <c r="C478" s="450" t="s">
        <v>1400</v>
      </c>
      <c r="D478" s="943"/>
      <c r="E478" s="943"/>
      <c r="F478" s="943"/>
      <c r="G478" s="946"/>
      <c r="H478" s="943"/>
      <c r="I478" s="450" t="s">
        <v>46</v>
      </c>
      <c r="J478" s="41">
        <v>322503</v>
      </c>
      <c r="K478" s="52" t="s">
        <v>990</v>
      </c>
      <c r="L478" s="52"/>
      <c r="M478" s="50"/>
      <c r="N478" s="949"/>
      <c r="O478" s="950"/>
      <c r="P478" s="52"/>
      <c r="Q478" s="940"/>
      <c r="R478" s="931"/>
      <c r="S478" s="672"/>
      <c r="T478" s="449"/>
      <c r="U478" s="931"/>
      <c r="V478" s="41">
        <v>0</v>
      </c>
      <c r="W478" s="672">
        <v>0</v>
      </c>
      <c r="X478" s="931"/>
      <c r="Y478" s="930"/>
      <c r="Z478" s="843"/>
      <c r="AA478" s="940"/>
      <c r="AB478" s="843" t="e">
        <f t="shared" si="58"/>
        <v>#DIV/0!</v>
      </c>
      <c r="AC478" s="843" t="e">
        <f t="shared" si="59"/>
        <v>#DIV/0!</v>
      </c>
      <c r="AD478" s="843">
        <f t="shared" si="60"/>
        <v>0</v>
      </c>
      <c r="AE478" s="843">
        <f t="shared" si="61"/>
        <v>0</v>
      </c>
      <c r="AF478" s="939"/>
    </row>
    <row r="479" spans="1:32">
      <c r="A479" s="597" t="s">
        <v>999</v>
      </c>
      <c r="B479" s="450" t="s">
        <v>1000</v>
      </c>
      <c r="C479" s="450" t="s">
        <v>1400</v>
      </c>
      <c r="D479" s="948" t="s">
        <v>43</v>
      </c>
      <c r="E479" s="948" t="s">
        <v>44</v>
      </c>
      <c r="F479" s="948" t="s">
        <v>55</v>
      </c>
      <c r="G479" s="951" t="s">
        <v>58</v>
      </c>
      <c r="H479" s="948" t="s">
        <v>62</v>
      </c>
      <c r="I479" s="450" t="s">
        <v>239</v>
      </c>
      <c r="J479" s="41">
        <v>8326660</v>
      </c>
      <c r="K479" s="52" t="s">
        <v>219</v>
      </c>
      <c r="L479" s="52"/>
      <c r="M479" s="50"/>
      <c r="N479" s="949">
        <v>3.5000000000000001E-3</v>
      </c>
      <c r="O479" s="950">
        <v>4.8329999999999998E-4</v>
      </c>
      <c r="P479" s="52"/>
      <c r="Q479" s="940">
        <v>182392</v>
      </c>
      <c r="R479" s="931">
        <v>170748</v>
      </c>
      <c r="S479" s="672"/>
      <c r="T479" s="449"/>
      <c r="U479" s="931">
        <v>3737</v>
      </c>
      <c r="V479" s="41">
        <v>6338</v>
      </c>
      <c r="W479" s="672">
        <v>227</v>
      </c>
      <c r="X479" s="931">
        <v>1342</v>
      </c>
      <c r="Y479" s="930"/>
      <c r="Z479" s="843">
        <v>6.1999999999999998E-3</v>
      </c>
      <c r="AA479" s="940">
        <f>+R479+T479+U479+V479+X479</f>
        <v>182165</v>
      </c>
      <c r="AB479" s="843">
        <f t="shared" si="58"/>
        <v>0.93732605055855955</v>
      </c>
      <c r="AC479" s="843">
        <f t="shared" si="59"/>
        <v>2.0514368841434961E-2</v>
      </c>
      <c r="AD479" s="843">
        <f t="shared" si="60"/>
        <v>2.0506181350025101E-2</v>
      </c>
      <c r="AE479" s="843">
        <f t="shared" si="61"/>
        <v>4.4879939855836556E-4</v>
      </c>
      <c r="AF479" s="937">
        <f>+(AA479/(J479+J480+J481+J482))+Z479</f>
        <v>2.3916728797355402E-2</v>
      </c>
    </row>
    <row r="480" spans="1:32">
      <c r="A480" s="597" t="s">
        <v>1001</v>
      </c>
      <c r="B480" s="450" t="s">
        <v>1002</v>
      </c>
      <c r="C480" s="450" t="s">
        <v>1400</v>
      </c>
      <c r="D480" s="948"/>
      <c r="E480" s="948"/>
      <c r="F480" s="948"/>
      <c r="G480" s="951"/>
      <c r="H480" s="948"/>
      <c r="I480" s="450" t="s">
        <v>46</v>
      </c>
      <c r="J480" s="41">
        <v>450345</v>
      </c>
      <c r="K480" s="52" t="s">
        <v>990</v>
      </c>
      <c r="L480" s="52"/>
      <c r="M480" s="50"/>
      <c r="N480" s="949"/>
      <c r="O480" s="950"/>
      <c r="P480" s="52"/>
      <c r="Q480" s="940"/>
      <c r="R480" s="931"/>
      <c r="S480" s="672"/>
      <c r="T480" s="449"/>
      <c r="U480" s="931"/>
      <c r="V480" s="41">
        <v>0</v>
      </c>
      <c r="W480" s="672">
        <v>0</v>
      </c>
      <c r="X480" s="931"/>
      <c r="Y480" s="930"/>
      <c r="Z480" s="843"/>
      <c r="AA480" s="940"/>
      <c r="AB480" s="843" t="e">
        <f t="shared" si="58"/>
        <v>#DIV/0!</v>
      </c>
      <c r="AC480" s="843" t="e">
        <f t="shared" si="59"/>
        <v>#DIV/0!</v>
      </c>
      <c r="AD480" s="843">
        <f t="shared" si="60"/>
        <v>0</v>
      </c>
      <c r="AE480" s="843">
        <f t="shared" si="61"/>
        <v>0</v>
      </c>
      <c r="AF480" s="938"/>
    </row>
    <row r="481" spans="1:32">
      <c r="A481" s="597" t="s">
        <v>1003</v>
      </c>
      <c r="B481" s="450" t="s">
        <v>1004</v>
      </c>
      <c r="C481" s="450" t="s">
        <v>1400</v>
      </c>
      <c r="D481" s="948"/>
      <c r="E481" s="948"/>
      <c r="F481" s="948"/>
      <c r="G481" s="951"/>
      <c r="H481" s="948"/>
      <c r="I481" s="450" t="s">
        <v>69</v>
      </c>
      <c r="J481" s="41">
        <v>1504974</v>
      </c>
      <c r="K481" s="52" t="s">
        <v>990</v>
      </c>
      <c r="L481" s="52"/>
      <c r="M481" s="50"/>
      <c r="N481" s="949"/>
      <c r="O481" s="950"/>
      <c r="P481" s="52"/>
      <c r="Q481" s="940"/>
      <c r="R481" s="931"/>
      <c r="S481" s="672"/>
      <c r="T481" s="449"/>
      <c r="U481" s="931"/>
      <c r="V481" s="41">
        <v>0</v>
      </c>
      <c r="W481" s="672">
        <v>0</v>
      </c>
      <c r="X481" s="931"/>
      <c r="Y481" s="930"/>
      <c r="Z481" s="843"/>
      <c r="AA481" s="940"/>
      <c r="AB481" s="843" t="e">
        <f t="shared" si="58"/>
        <v>#DIV/0!</v>
      </c>
      <c r="AC481" s="843" t="e">
        <f t="shared" si="59"/>
        <v>#DIV/0!</v>
      </c>
      <c r="AD481" s="843">
        <f t="shared" si="60"/>
        <v>0</v>
      </c>
      <c r="AE481" s="843">
        <f t="shared" si="61"/>
        <v>0</v>
      </c>
      <c r="AF481" s="938"/>
    </row>
    <row r="482" spans="1:32">
      <c r="A482" s="597" t="s">
        <v>1005</v>
      </c>
      <c r="B482" s="450" t="s">
        <v>1006</v>
      </c>
      <c r="C482" s="450" t="s">
        <v>1400</v>
      </c>
      <c r="D482" s="948"/>
      <c r="E482" s="948"/>
      <c r="F482" s="948"/>
      <c r="G482" s="951"/>
      <c r="H482" s="948"/>
      <c r="I482" s="450" t="s">
        <v>239</v>
      </c>
      <c r="J482" s="41">
        <v>111</v>
      </c>
      <c r="K482" s="52" t="s">
        <v>990</v>
      </c>
      <c r="L482" s="52"/>
      <c r="M482" s="50"/>
      <c r="N482" s="949"/>
      <c r="O482" s="950"/>
      <c r="P482" s="52"/>
      <c r="Q482" s="940"/>
      <c r="R482" s="931"/>
      <c r="S482" s="672"/>
      <c r="T482" s="449"/>
      <c r="U482" s="931"/>
      <c r="V482" s="41">
        <v>0</v>
      </c>
      <c r="W482" s="672">
        <v>0</v>
      </c>
      <c r="X482" s="931"/>
      <c r="Y482" s="930"/>
      <c r="Z482" s="843"/>
      <c r="AA482" s="940"/>
      <c r="AB482" s="843" t="e">
        <f t="shared" si="58"/>
        <v>#DIV/0!</v>
      </c>
      <c r="AC482" s="843" t="e">
        <f t="shared" si="59"/>
        <v>#DIV/0!</v>
      </c>
      <c r="AD482" s="843">
        <f t="shared" si="60"/>
        <v>0</v>
      </c>
      <c r="AE482" s="843">
        <f t="shared" si="61"/>
        <v>0</v>
      </c>
      <c r="AF482" s="939"/>
    </row>
    <row r="483" spans="1:32">
      <c r="A483" s="597" t="s">
        <v>1007</v>
      </c>
      <c r="B483" s="450" t="s">
        <v>1008</v>
      </c>
      <c r="C483" s="450" t="s">
        <v>1400</v>
      </c>
      <c r="D483" s="948" t="s">
        <v>43</v>
      </c>
      <c r="E483" s="948" t="s">
        <v>44</v>
      </c>
      <c r="F483" s="948" t="s">
        <v>55</v>
      </c>
      <c r="G483" s="951" t="s">
        <v>58</v>
      </c>
      <c r="H483" s="948" t="s">
        <v>62</v>
      </c>
      <c r="I483" s="450" t="s">
        <v>239</v>
      </c>
      <c r="J483" s="41">
        <v>1505259</v>
      </c>
      <c r="K483" s="52" t="s">
        <v>219</v>
      </c>
      <c r="L483" s="52"/>
      <c r="M483" s="50"/>
      <c r="N483" s="949">
        <v>3.5000000000000001E-3</v>
      </c>
      <c r="O483" s="950">
        <v>4.8329999999999998E-4</v>
      </c>
      <c r="P483" s="52"/>
      <c r="Q483" s="940">
        <v>87965</v>
      </c>
      <c r="R483" s="931">
        <v>81874</v>
      </c>
      <c r="S483" s="672"/>
      <c r="T483" s="449"/>
      <c r="U483" s="931">
        <v>1565</v>
      </c>
      <c r="V483" s="41">
        <v>3520</v>
      </c>
      <c r="W483" s="672">
        <v>162</v>
      </c>
      <c r="X483" s="931">
        <v>844</v>
      </c>
      <c r="Y483" s="930"/>
      <c r="Z483" s="843">
        <v>5.7000000000000002E-3</v>
      </c>
      <c r="AA483" s="940">
        <f>+R483+T483+U483+V483+X483</f>
        <v>87803</v>
      </c>
      <c r="AB483" s="843">
        <f t="shared" si="58"/>
        <v>0.93247383346810475</v>
      </c>
      <c r="AC483" s="843">
        <f t="shared" si="59"/>
        <v>1.7823992346502966E-2</v>
      </c>
      <c r="AD483" s="843">
        <f t="shared" si="60"/>
        <v>5.4391968425367331E-2</v>
      </c>
      <c r="AE483" s="843">
        <f t="shared" si="61"/>
        <v>1.0396881865512846E-3</v>
      </c>
      <c r="AF483" s="937">
        <f>+(AA483/(J483+J484+J485+J486))+Z483</f>
        <v>2.6068471147932915E-2</v>
      </c>
    </row>
    <row r="484" spans="1:32" ht="12.75" customHeight="1">
      <c r="A484" s="597" t="s">
        <v>1009</v>
      </c>
      <c r="B484" s="450" t="s">
        <v>1010</v>
      </c>
      <c r="C484" s="450" t="s">
        <v>1400</v>
      </c>
      <c r="D484" s="948"/>
      <c r="E484" s="948"/>
      <c r="F484" s="948"/>
      <c r="G484" s="951"/>
      <c r="H484" s="948"/>
      <c r="I484" s="450" t="s">
        <v>46</v>
      </c>
      <c r="J484" s="41">
        <v>1091167</v>
      </c>
      <c r="K484" s="52" t="s">
        <v>990</v>
      </c>
      <c r="L484" s="52"/>
      <c r="M484" s="50"/>
      <c r="N484" s="949"/>
      <c r="O484" s="950"/>
      <c r="P484" s="52"/>
      <c r="Q484" s="940"/>
      <c r="R484" s="931"/>
      <c r="S484" s="672"/>
      <c r="T484" s="449"/>
      <c r="U484" s="931"/>
      <c r="V484" s="41">
        <v>0</v>
      </c>
      <c r="W484" s="672">
        <v>0</v>
      </c>
      <c r="X484" s="931"/>
      <c r="Y484" s="930"/>
      <c r="Z484" s="843"/>
      <c r="AA484" s="940"/>
      <c r="AB484" s="843" t="e">
        <f t="shared" si="58"/>
        <v>#DIV/0!</v>
      </c>
      <c r="AC484" s="843" t="e">
        <f t="shared" si="59"/>
        <v>#DIV/0!</v>
      </c>
      <c r="AD484" s="843">
        <f t="shared" si="60"/>
        <v>0</v>
      </c>
      <c r="AE484" s="843">
        <f t="shared" si="61"/>
        <v>0</v>
      </c>
      <c r="AF484" s="938"/>
    </row>
    <row r="485" spans="1:32" ht="12.75" customHeight="1">
      <c r="A485" s="597" t="s">
        <v>1011</v>
      </c>
      <c r="B485" s="450" t="s">
        <v>1012</v>
      </c>
      <c r="C485" s="450" t="s">
        <v>1400</v>
      </c>
      <c r="D485" s="948"/>
      <c r="E485" s="948"/>
      <c r="F485" s="948"/>
      <c r="G485" s="951"/>
      <c r="H485" s="948"/>
      <c r="I485" s="450" t="s">
        <v>69</v>
      </c>
      <c r="J485" s="41">
        <v>1714189</v>
      </c>
      <c r="K485" s="52" t="s">
        <v>990</v>
      </c>
      <c r="L485" s="52"/>
      <c r="M485" s="50"/>
      <c r="N485" s="949"/>
      <c r="O485" s="950"/>
      <c r="P485" s="52"/>
      <c r="Q485" s="940"/>
      <c r="R485" s="931"/>
      <c r="S485" s="672"/>
      <c r="T485" s="449"/>
      <c r="U485" s="931"/>
      <c r="V485" s="41">
        <v>0</v>
      </c>
      <c r="W485" s="672">
        <v>0</v>
      </c>
      <c r="X485" s="931"/>
      <c r="Y485" s="930"/>
      <c r="Z485" s="843"/>
      <c r="AA485" s="940"/>
      <c r="AB485" s="843" t="e">
        <f t="shared" si="58"/>
        <v>#DIV/0!</v>
      </c>
      <c r="AC485" s="843" t="e">
        <f t="shared" si="59"/>
        <v>#DIV/0!</v>
      </c>
      <c r="AD485" s="843">
        <f t="shared" si="60"/>
        <v>0</v>
      </c>
      <c r="AE485" s="843">
        <f t="shared" si="61"/>
        <v>0</v>
      </c>
      <c r="AF485" s="938"/>
    </row>
    <row r="486" spans="1:32" ht="12.75" customHeight="1">
      <c r="A486" s="597" t="s">
        <v>1013</v>
      </c>
      <c r="B486" s="450" t="s">
        <v>1014</v>
      </c>
      <c r="C486" s="450" t="s">
        <v>1400</v>
      </c>
      <c r="D486" s="948"/>
      <c r="E486" s="948"/>
      <c r="F486" s="948"/>
      <c r="G486" s="951"/>
      <c r="H486" s="948"/>
      <c r="I486" s="450" t="s">
        <v>239</v>
      </c>
      <c r="J486" s="41">
        <v>116</v>
      </c>
      <c r="K486" s="52" t="s">
        <v>990</v>
      </c>
      <c r="L486" s="52"/>
      <c r="M486" s="50"/>
      <c r="N486" s="949"/>
      <c r="O486" s="950"/>
      <c r="P486" s="52"/>
      <c r="Q486" s="940"/>
      <c r="R486" s="931"/>
      <c r="S486" s="672"/>
      <c r="T486" s="449"/>
      <c r="U486" s="931"/>
      <c r="V486" s="41">
        <v>0</v>
      </c>
      <c r="W486" s="672">
        <v>0</v>
      </c>
      <c r="X486" s="931"/>
      <c r="Y486" s="930"/>
      <c r="Z486" s="843"/>
      <c r="AA486" s="940"/>
      <c r="AB486" s="843" t="e">
        <f t="shared" si="58"/>
        <v>#DIV/0!</v>
      </c>
      <c r="AC486" s="843" t="e">
        <f t="shared" si="59"/>
        <v>#DIV/0!</v>
      </c>
      <c r="AD486" s="843">
        <f t="shared" si="60"/>
        <v>0</v>
      </c>
      <c r="AE486" s="843">
        <f t="shared" si="61"/>
        <v>0</v>
      </c>
      <c r="AF486" s="939"/>
    </row>
    <row r="487" spans="1:32">
      <c r="A487" s="597" t="s">
        <v>1015</v>
      </c>
      <c r="B487" s="450" t="s">
        <v>1016</v>
      </c>
      <c r="C487" s="450" t="s">
        <v>1400</v>
      </c>
      <c r="D487" s="948" t="s">
        <v>43</v>
      </c>
      <c r="E487" s="948" t="s">
        <v>44</v>
      </c>
      <c r="F487" s="948" t="s">
        <v>55</v>
      </c>
      <c r="G487" s="951" t="s">
        <v>58</v>
      </c>
      <c r="H487" s="948" t="s">
        <v>62</v>
      </c>
      <c r="I487" s="450" t="s">
        <v>69</v>
      </c>
      <c r="J487" s="41">
        <v>1370455</v>
      </c>
      <c r="K487" s="52" t="s">
        <v>219</v>
      </c>
      <c r="L487" s="52"/>
      <c r="M487" s="50"/>
      <c r="N487" s="949">
        <v>3.5000000000000001E-3</v>
      </c>
      <c r="O487" s="950">
        <v>4.8329999999999998E-4</v>
      </c>
      <c r="P487" s="52"/>
      <c r="Q487" s="940">
        <v>35695</v>
      </c>
      <c r="R487" s="931">
        <v>32004</v>
      </c>
      <c r="S487" s="672"/>
      <c r="T487" s="449"/>
      <c r="U487" s="931">
        <v>684</v>
      </c>
      <c r="V487" s="41">
        <v>2229</v>
      </c>
      <c r="W487" s="672">
        <v>111</v>
      </c>
      <c r="X487" s="931">
        <v>667</v>
      </c>
      <c r="Y487" s="930"/>
      <c r="Z487" s="843">
        <v>5.1999999999999998E-3</v>
      </c>
      <c r="AA487" s="940">
        <f>+R487+T487+U487+V487+X487</f>
        <v>35584</v>
      </c>
      <c r="AB487" s="843">
        <f t="shared" si="58"/>
        <v>0.89939298561151082</v>
      </c>
      <c r="AC487" s="843">
        <f t="shared" si="59"/>
        <v>1.9222122302158272E-2</v>
      </c>
      <c r="AD487" s="843">
        <f t="shared" si="60"/>
        <v>2.3352828075347238E-2</v>
      </c>
      <c r="AE487" s="843">
        <f t="shared" si="61"/>
        <v>4.9910431207153831E-4</v>
      </c>
      <c r="AF487" s="937">
        <f>+(AA487/(J487+J488+J489+J490))+Z487</f>
        <v>2.3565016048228811E-2</v>
      </c>
    </row>
    <row r="488" spans="1:32" ht="12.75" customHeight="1">
      <c r="A488" s="597" t="s">
        <v>1017</v>
      </c>
      <c r="B488" s="450" t="s">
        <v>1018</v>
      </c>
      <c r="C488" s="450" t="s">
        <v>1400</v>
      </c>
      <c r="D488" s="948"/>
      <c r="E488" s="948"/>
      <c r="F488" s="948"/>
      <c r="G488" s="951"/>
      <c r="H488" s="948"/>
      <c r="I488" s="450" t="s">
        <v>46</v>
      </c>
      <c r="J488" s="41">
        <v>221</v>
      </c>
      <c r="K488" s="52" t="s">
        <v>990</v>
      </c>
      <c r="L488" s="52"/>
      <c r="M488" s="50"/>
      <c r="N488" s="949"/>
      <c r="O488" s="950"/>
      <c r="P488" s="52"/>
      <c r="Q488" s="940"/>
      <c r="R488" s="931"/>
      <c r="S488" s="672"/>
      <c r="T488" s="449"/>
      <c r="U488" s="931"/>
      <c r="V488" s="41">
        <v>0</v>
      </c>
      <c r="W488" s="672">
        <v>0</v>
      </c>
      <c r="X488" s="931"/>
      <c r="Y488" s="930"/>
      <c r="Z488" s="843"/>
      <c r="AA488" s="940"/>
      <c r="AB488" s="843" t="e">
        <f t="shared" si="58"/>
        <v>#DIV/0!</v>
      </c>
      <c r="AC488" s="843" t="e">
        <f t="shared" si="59"/>
        <v>#DIV/0!</v>
      </c>
      <c r="AD488" s="843">
        <f t="shared" si="60"/>
        <v>0</v>
      </c>
      <c r="AE488" s="843">
        <f t="shared" si="61"/>
        <v>0</v>
      </c>
      <c r="AF488" s="938"/>
    </row>
    <row r="489" spans="1:32" ht="12.75" customHeight="1">
      <c r="A489" s="597" t="s">
        <v>1019</v>
      </c>
      <c r="B489" s="450" t="s">
        <v>1020</v>
      </c>
      <c r="C489" s="450" t="s">
        <v>1400</v>
      </c>
      <c r="D489" s="948"/>
      <c r="E489" s="948"/>
      <c r="F489" s="948"/>
      <c r="G489" s="951"/>
      <c r="H489" s="948"/>
      <c r="I489" s="450" t="s">
        <v>69</v>
      </c>
      <c r="J489" s="41">
        <v>566826</v>
      </c>
      <c r="K489" s="52" t="s">
        <v>990</v>
      </c>
      <c r="L489" s="52"/>
      <c r="M489" s="50"/>
      <c r="N489" s="949"/>
      <c r="O489" s="950"/>
      <c r="P489" s="52"/>
      <c r="Q489" s="940"/>
      <c r="R489" s="931"/>
      <c r="S489" s="672"/>
      <c r="T489" s="449"/>
      <c r="U489" s="931"/>
      <c r="V489" s="41">
        <v>0</v>
      </c>
      <c r="W489" s="672">
        <v>0</v>
      </c>
      <c r="X489" s="931"/>
      <c r="Y489" s="930"/>
      <c r="Z489" s="843"/>
      <c r="AA489" s="940"/>
      <c r="AB489" s="843" t="e">
        <f t="shared" si="58"/>
        <v>#DIV/0!</v>
      </c>
      <c r="AC489" s="843" t="e">
        <f t="shared" si="59"/>
        <v>#DIV/0!</v>
      </c>
      <c r="AD489" s="843">
        <f t="shared" si="60"/>
        <v>0</v>
      </c>
      <c r="AE489" s="843">
        <f t="shared" si="61"/>
        <v>0</v>
      </c>
      <c r="AF489" s="938"/>
    </row>
    <row r="490" spans="1:32" ht="12.75" customHeight="1">
      <c r="A490" s="597" t="s">
        <v>1021</v>
      </c>
      <c r="B490" s="450" t="s">
        <v>1022</v>
      </c>
      <c r="C490" s="450" t="s">
        <v>1400</v>
      </c>
      <c r="D490" s="948"/>
      <c r="E490" s="948"/>
      <c r="F490" s="948"/>
      <c r="G490" s="951"/>
      <c r="H490" s="948"/>
      <c r="I490" s="450" t="s">
        <v>239</v>
      </c>
      <c r="J490" s="41">
        <v>95</v>
      </c>
      <c r="K490" s="52" t="s">
        <v>990</v>
      </c>
      <c r="L490" s="52"/>
      <c r="M490" s="50"/>
      <c r="N490" s="949"/>
      <c r="O490" s="950"/>
      <c r="P490" s="52"/>
      <c r="Q490" s="940"/>
      <c r="R490" s="931"/>
      <c r="S490" s="672"/>
      <c r="T490" s="449"/>
      <c r="U490" s="931"/>
      <c r="V490" s="41">
        <v>0</v>
      </c>
      <c r="W490" s="672">
        <v>0</v>
      </c>
      <c r="X490" s="931"/>
      <c r="Y490" s="930"/>
      <c r="Z490" s="843"/>
      <c r="AA490" s="940"/>
      <c r="AB490" s="843" t="e">
        <f t="shared" si="58"/>
        <v>#DIV/0!</v>
      </c>
      <c r="AC490" s="843" t="e">
        <f t="shared" si="59"/>
        <v>#DIV/0!</v>
      </c>
      <c r="AD490" s="843">
        <f t="shared" si="60"/>
        <v>0</v>
      </c>
      <c r="AE490" s="843">
        <f t="shared" si="61"/>
        <v>0</v>
      </c>
      <c r="AF490" s="939"/>
    </row>
    <row r="491" spans="1:32">
      <c r="A491" s="597" t="s">
        <v>1023</v>
      </c>
      <c r="B491" s="450" t="s">
        <v>1024</v>
      </c>
      <c r="C491" s="450" t="s">
        <v>1400</v>
      </c>
      <c r="D491" s="948" t="s">
        <v>43</v>
      </c>
      <c r="E491" s="948" t="s">
        <v>44</v>
      </c>
      <c r="F491" s="948" t="s">
        <v>55</v>
      </c>
      <c r="G491" s="951" t="s">
        <v>58</v>
      </c>
      <c r="H491" s="948" t="s">
        <v>62</v>
      </c>
      <c r="I491" s="450" t="s">
        <v>239</v>
      </c>
      <c r="J491" s="41">
        <v>2517989</v>
      </c>
      <c r="K491" s="52" t="s">
        <v>219</v>
      </c>
      <c r="L491" s="52"/>
      <c r="M491" s="50"/>
      <c r="N491" s="949">
        <v>3.5000000000000001E-3</v>
      </c>
      <c r="O491" s="950">
        <v>4.8329999999999998E-4</v>
      </c>
      <c r="P491" s="52"/>
      <c r="Q491" s="940">
        <v>64293</v>
      </c>
      <c r="R491" s="931">
        <v>58426</v>
      </c>
      <c r="S491" s="672"/>
      <c r="T491" s="449"/>
      <c r="U491" s="931">
        <v>1253</v>
      </c>
      <c r="V491" s="41">
        <v>3823</v>
      </c>
      <c r="W491" s="672">
        <v>134</v>
      </c>
      <c r="X491" s="931">
        <v>657</v>
      </c>
      <c r="Y491" s="930"/>
      <c r="Z491" s="843">
        <v>4.0000000000000001E-3</v>
      </c>
      <c r="AA491" s="940">
        <f>+R491+T491+U491+V491+X491</f>
        <v>64159</v>
      </c>
      <c r="AB491" s="843">
        <f t="shared" si="58"/>
        <v>0.91064386913761119</v>
      </c>
      <c r="AC491" s="843">
        <f t="shared" si="59"/>
        <v>1.9529606134758959E-2</v>
      </c>
      <c r="AD491" s="843">
        <f t="shared" si="60"/>
        <v>2.3203437346231457E-2</v>
      </c>
      <c r="AE491" s="843">
        <f t="shared" si="61"/>
        <v>4.976193303465583E-4</v>
      </c>
      <c r="AF491" s="937">
        <f>+(AA491/(J491+J492+J493+J494))+Z491</f>
        <v>2.2580428503331265E-2</v>
      </c>
    </row>
    <row r="492" spans="1:32" ht="12.75" customHeight="1">
      <c r="A492" s="597" t="s">
        <v>1025</v>
      </c>
      <c r="B492" s="450" t="s">
        <v>1026</v>
      </c>
      <c r="C492" s="450" t="s">
        <v>1400</v>
      </c>
      <c r="D492" s="948"/>
      <c r="E492" s="948"/>
      <c r="F492" s="948"/>
      <c r="G492" s="951"/>
      <c r="H492" s="948"/>
      <c r="I492" s="450" t="s">
        <v>46</v>
      </c>
      <c r="J492" s="41">
        <v>173489</v>
      </c>
      <c r="K492" s="52" t="s">
        <v>990</v>
      </c>
      <c r="L492" s="52"/>
      <c r="M492" s="50"/>
      <c r="N492" s="949"/>
      <c r="O492" s="950"/>
      <c r="P492" s="52"/>
      <c r="Q492" s="940"/>
      <c r="R492" s="931"/>
      <c r="S492" s="672"/>
      <c r="T492" s="449"/>
      <c r="U492" s="931"/>
      <c r="V492" s="41">
        <v>0</v>
      </c>
      <c r="W492" s="672">
        <v>0</v>
      </c>
      <c r="X492" s="931"/>
      <c r="Y492" s="930"/>
      <c r="Z492" s="843"/>
      <c r="AA492" s="940"/>
      <c r="AB492" s="843" t="e">
        <f t="shared" si="58"/>
        <v>#DIV/0!</v>
      </c>
      <c r="AC492" s="843" t="e">
        <f t="shared" si="59"/>
        <v>#DIV/0!</v>
      </c>
      <c r="AD492" s="843">
        <f t="shared" si="60"/>
        <v>0</v>
      </c>
      <c r="AE492" s="843">
        <f t="shared" si="61"/>
        <v>0</v>
      </c>
      <c r="AF492" s="938"/>
    </row>
    <row r="493" spans="1:32" ht="12.75" customHeight="1">
      <c r="A493" s="597" t="s">
        <v>1027</v>
      </c>
      <c r="B493" s="450" t="s">
        <v>1028</v>
      </c>
      <c r="C493" s="450" t="s">
        <v>1400</v>
      </c>
      <c r="D493" s="948"/>
      <c r="E493" s="948"/>
      <c r="F493" s="948"/>
      <c r="G493" s="951"/>
      <c r="H493" s="948"/>
      <c r="I493" s="450" t="s">
        <v>69</v>
      </c>
      <c r="J493" s="41">
        <v>761443</v>
      </c>
      <c r="K493" s="52" t="s">
        <v>990</v>
      </c>
      <c r="L493" s="52"/>
      <c r="M493" s="50"/>
      <c r="N493" s="949"/>
      <c r="O493" s="950"/>
      <c r="P493" s="52"/>
      <c r="Q493" s="940"/>
      <c r="R493" s="931"/>
      <c r="S493" s="672"/>
      <c r="T493" s="449"/>
      <c r="U493" s="931"/>
      <c r="V493" s="41">
        <v>0</v>
      </c>
      <c r="W493" s="672">
        <v>0</v>
      </c>
      <c r="X493" s="931"/>
      <c r="Y493" s="930"/>
      <c r="Z493" s="843"/>
      <c r="AA493" s="940"/>
      <c r="AB493" s="843" t="e">
        <f t="shared" si="58"/>
        <v>#DIV/0!</v>
      </c>
      <c r="AC493" s="843" t="e">
        <f t="shared" si="59"/>
        <v>#DIV/0!</v>
      </c>
      <c r="AD493" s="843">
        <f t="shared" si="60"/>
        <v>0</v>
      </c>
      <c r="AE493" s="843">
        <f t="shared" si="61"/>
        <v>0</v>
      </c>
      <c r="AF493" s="938"/>
    </row>
    <row r="494" spans="1:32" ht="12.75" customHeight="1">
      <c r="A494" s="597" t="s">
        <v>1029</v>
      </c>
      <c r="B494" s="450" t="s">
        <v>1030</v>
      </c>
      <c r="C494" s="450" t="s">
        <v>1400</v>
      </c>
      <c r="D494" s="948"/>
      <c r="E494" s="948"/>
      <c r="F494" s="948"/>
      <c r="G494" s="951"/>
      <c r="H494" s="948"/>
      <c r="I494" s="450" t="s">
        <v>239</v>
      </c>
      <c r="J494" s="41">
        <v>121</v>
      </c>
      <c r="K494" s="52" t="s">
        <v>990</v>
      </c>
      <c r="L494" s="52"/>
      <c r="M494" s="50"/>
      <c r="N494" s="949"/>
      <c r="O494" s="950"/>
      <c r="P494" s="52"/>
      <c r="Q494" s="940"/>
      <c r="R494" s="931"/>
      <c r="S494" s="672"/>
      <c r="T494" s="449"/>
      <c r="U494" s="931"/>
      <c r="V494" s="41">
        <v>0</v>
      </c>
      <c r="W494" s="672">
        <v>0</v>
      </c>
      <c r="X494" s="931"/>
      <c r="Y494" s="930"/>
      <c r="Z494" s="843"/>
      <c r="AA494" s="940"/>
      <c r="AB494" s="843" t="e">
        <f t="shared" si="58"/>
        <v>#DIV/0!</v>
      </c>
      <c r="AC494" s="843" t="e">
        <f t="shared" si="59"/>
        <v>#DIV/0!</v>
      </c>
      <c r="AD494" s="843">
        <f t="shared" si="60"/>
        <v>0</v>
      </c>
      <c r="AE494" s="843">
        <f t="shared" si="61"/>
        <v>0</v>
      </c>
      <c r="AF494" s="939"/>
    </row>
    <row r="495" spans="1:32">
      <c r="A495" s="597" t="s">
        <v>1031</v>
      </c>
      <c r="B495" s="450" t="s">
        <v>1032</v>
      </c>
      <c r="C495" s="450" t="s">
        <v>1400</v>
      </c>
      <c r="D495" s="948" t="s">
        <v>43</v>
      </c>
      <c r="E495" s="948" t="s">
        <v>44</v>
      </c>
      <c r="F495" s="948" t="s">
        <v>55</v>
      </c>
      <c r="G495" s="951" t="s">
        <v>58</v>
      </c>
      <c r="H495" s="948" t="s">
        <v>62</v>
      </c>
      <c r="I495" s="450" t="s">
        <v>239</v>
      </c>
      <c r="J495" s="41">
        <v>9367626</v>
      </c>
      <c r="K495" s="52" t="s">
        <v>219</v>
      </c>
      <c r="L495" s="52"/>
      <c r="M495" s="50"/>
      <c r="N495" s="949">
        <v>3.5000000000000001E-3</v>
      </c>
      <c r="O495" s="950">
        <v>4.8329999999999998E-4</v>
      </c>
      <c r="P495" s="52"/>
      <c r="Q495" s="940">
        <v>210896</v>
      </c>
      <c r="R495" s="931">
        <v>197350</v>
      </c>
      <c r="S495" s="672"/>
      <c r="T495" s="449"/>
      <c r="U495" s="931">
        <v>4310</v>
      </c>
      <c r="V495" s="41">
        <v>8126</v>
      </c>
      <c r="W495" s="672">
        <v>246</v>
      </c>
      <c r="X495" s="931">
        <v>864</v>
      </c>
      <c r="Y495" s="930"/>
      <c r="Z495" s="843">
        <v>1.04E-2</v>
      </c>
      <c r="AA495" s="940">
        <f>+R495+T495+U495+V495+X495</f>
        <v>210650</v>
      </c>
      <c r="AB495" s="843">
        <f t="shared" si="58"/>
        <v>0.936862093520057</v>
      </c>
      <c r="AC495" s="843">
        <f t="shared" si="59"/>
        <v>2.0460479468312368E-2</v>
      </c>
      <c r="AD495" s="843">
        <f t="shared" si="60"/>
        <v>2.1067237312847459E-2</v>
      </c>
      <c r="AE495" s="843">
        <f t="shared" si="61"/>
        <v>4.6009522583416543E-4</v>
      </c>
      <c r="AF495" s="937">
        <f>+(AA495/(J495+J496+J497+J498))+Z495</f>
        <v>2.8194051237068796E-2</v>
      </c>
    </row>
    <row r="496" spans="1:32" ht="12.75" customHeight="1">
      <c r="A496" s="597" t="s">
        <v>1033</v>
      </c>
      <c r="B496" s="450" t="s">
        <v>1034</v>
      </c>
      <c r="C496" s="450" t="s">
        <v>1400</v>
      </c>
      <c r="D496" s="948"/>
      <c r="E496" s="948"/>
      <c r="F496" s="948"/>
      <c r="G496" s="951"/>
      <c r="H496" s="948"/>
      <c r="I496" s="450" t="s">
        <v>46</v>
      </c>
      <c r="J496" s="41">
        <v>646262</v>
      </c>
      <c r="K496" s="52" t="s">
        <v>990</v>
      </c>
      <c r="L496" s="52"/>
      <c r="M496" s="50"/>
      <c r="N496" s="949"/>
      <c r="O496" s="950"/>
      <c r="P496" s="52"/>
      <c r="Q496" s="940"/>
      <c r="R496" s="931"/>
      <c r="S496" s="672"/>
      <c r="T496" s="449"/>
      <c r="U496" s="931"/>
      <c r="V496" s="41">
        <v>0</v>
      </c>
      <c r="W496" s="672">
        <v>0</v>
      </c>
      <c r="X496" s="931"/>
      <c r="Y496" s="930"/>
      <c r="Z496" s="843"/>
      <c r="AA496" s="940"/>
      <c r="AB496" s="843" t="e">
        <f t="shared" si="58"/>
        <v>#DIV/0!</v>
      </c>
      <c r="AC496" s="843" t="e">
        <f t="shared" si="59"/>
        <v>#DIV/0!</v>
      </c>
      <c r="AD496" s="843">
        <f t="shared" si="60"/>
        <v>0</v>
      </c>
      <c r="AE496" s="843">
        <f t="shared" si="61"/>
        <v>0</v>
      </c>
      <c r="AF496" s="938"/>
    </row>
    <row r="497" spans="1:32" ht="12.75" customHeight="1">
      <c r="A497" s="597" t="s">
        <v>1035</v>
      </c>
      <c r="B497" s="450" t="s">
        <v>1036</v>
      </c>
      <c r="C497" s="450" t="s">
        <v>1400</v>
      </c>
      <c r="D497" s="948"/>
      <c r="E497" s="948"/>
      <c r="F497" s="948"/>
      <c r="G497" s="951"/>
      <c r="H497" s="948"/>
      <c r="I497" s="450" t="s">
        <v>69</v>
      </c>
      <c r="J497" s="41">
        <v>1824240</v>
      </c>
      <c r="K497" s="52" t="s">
        <v>990</v>
      </c>
      <c r="L497" s="52"/>
      <c r="M497" s="50"/>
      <c r="N497" s="949"/>
      <c r="O497" s="950"/>
      <c r="P497" s="52"/>
      <c r="Q497" s="940"/>
      <c r="R497" s="931"/>
      <c r="S497" s="672"/>
      <c r="T497" s="449"/>
      <c r="U497" s="931"/>
      <c r="V497" s="41">
        <v>0</v>
      </c>
      <c r="W497" s="672">
        <v>0</v>
      </c>
      <c r="X497" s="931"/>
      <c r="Y497" s="930"/>
      <c r="Z497" s="843"/>
      <c r="AA497" s="940"/>
      <c r="AB497" s="843" t="e">
        <f t="shared" si="58"/>
        <v>#DIV/0!</v>
      </c>
      <c r="AC497" s="843" t="e">
        <f t="shared" si="59"/>
        <v>#DIV/0!</v>
      </c>
      <c r="AD497" s="843">
        <f t="shared" si="60"/>
        <v>0</v>
      </c>
      <c r="AE497" s="843">
        <f t="shared" si="61"/>
        <v>0</v>
      </c>
      <c r="AF497" s="938"/>
    </row>
    <row r="498" spans="1:32" ht="12.75" customHeight="1">
      <c r="A498" s="597" t="s">
        <v>1037</v>
      </c>
      <c r="B498" s="450" t="s">
        <v>1038</v>
      </c>
      <c r="C498" s="450" t="s">
        <v>1400</v>
      </c>
      <c r="D498" s="948"/>
      <c r="E498" s="948"/>
      <c r="F498" s="948"/>
      <c r="G498" s="951"/>
      <c r="H498" s="948"/>
      <c r="I498" s="450" t="s">
        <v>239</v>
      </c>
      <c r="J498" s="41">
        <v>98</v>
      </c>
      <c r="K498" s="52" t="s">
        <v>990</v>
      </c>
      <c r="L498" s="52"/>
      <c r="M498" s="50"/>
      <c r="N498" s="949"/>
      <c r="O498" s="950"/>
      <c r="P498" s="52"/>
      <c r="Q498" s="940"/>
      <c r="R498" s="931"/>
      <c r="S498" s="672"/>
      <c r="T498" s="449"/>
      <c r="U498" s="931"/>
      <c r="V498" s="41">
        <v>0</v>
      </c>
      <c r="W498" s="672">
        <v>0</v>
      </c>
      <c r="X498" s="931"/>
      <c r="Y498" s="930"/>
      <c r="Z498" s="843"/>
      <c r="AA498" s="940"/>
      <c r="AB498" s="843" t="e">
        <f t="shared" si="58"/>
        <v>#DIV/0!</v>
      </c>
      <c r="AC498" s="843" t="e">
        <f t="shared" si="59"/>
        <v>#DIV/0!</v>
      </c>
      <c r="AD498" s="843">
        <f t="shared" si="60"/>
        <v>0</v>
      </c>
      <c r="AE498" s="843">
        <f t="shared" si="61"/>
        <v>0</v>
      </c>
      <c r="AF498" s="939"/>
    </row>
    <row r="499" spans="1:32">
      <c r="A499" s="597" t="s">
        <v>1039</v>
      </c>
      <c r="B499" s="450" t="s">
        <v>1040</v>
      </c>
      <c r="C499" s="450" t="s">
        <v>1400</v>
      </c>
      <c r="D499" s="948" t="s">
        <v>43</v>
      </c>
      <c r="E499" s="948" t="s">
        <v>44</v>
      </c>
      <c r="F499" s="948" t="s">
        <v>55</v>
      </c>
      <c r="G499" s="951" t="s">
        <v>58</v>
      </c>
      <c r="H499" s="948" t="s">
        <v>62</v>
      </c>
      <c r="I499" s="450" t="s">
        <v>239</v>
      </c>
      <c r="J499" s="41">
        <v>14795920</v>
      </c>
      <c r="K499" s="52" t="s">
        <v>219</v>
      </c>
      <c r="L499" s="52"/>
      <c r="M499" s="50"/>
      <c r="N499" s="949">
        <v>3.5000000000000001E-3</v>
      </c>
      <c r="O499" s="950">
        <v>4.8329999999999998E-4</v>
      </c>
      <c r="P499" s="52"/>
      <c r="Q499" s="940">
        <v>320609</v>
      </c>
      <c r="R499" s="931">
        <v>301910</v>
      </c>
      <c r="S499" s="672"/>
      <c r="T499" s="449"/>
      <c r="U499" s="931">
        <v>6625</v>
      </c>
      <c r="V499" s="41">
        <v>10569</v>
      </c>
      <c r="W499" s="672">
        <v>274</v>
      </c>
      <c r="X499" s="931">
        <v>1231</v>
      </c>
      <c r="Y499" s="930"/>
      <c r="Z499" s="843">
        <v>6.0000000000000001E-3</v>
      </c>
      <c r="AA499" s="940">
        <f>+R499+T499+U499+V499+X499</f>
        <v>320335</v>
      </c>
      <c r="AB499" s="843">
        <f t="shared" si="58"/>
        <v>0.94248208906301212</v>
      </c>
      <c r="AC499" s="843">
        <f t="shared" si="59"/>
        <v>2.0681474081820594E-2</v>
      </c>
      <c r="AD499" s="843">
        <f t="shared" si="60"/>
        <v>2.0404949472557301E-2</v>
      </c>
      <c r="AE499" s="843">
        <f t="shared" si="61"/>
        <v>4.4775857128181285E-4</v>
      </c>
      <c r="AF499" s="937">
        <f>+(AA499/(J499+J500+J501+J502))+Z499</f>
        <v>2.3560887629725587E-2</v>
      </c>
    </row>
    <row r="500" spans="1:32" ht="12.75" customHeight="1">
      <c r="A500" s="597" t="s">
        <v>1041</v>
      </c>
      <c r="B500" s="450" t="s">
        <v>1042</v>
      </c>
      <c r="C500" s="450" t="s">
        <v>1400</v>
      </c>
      <c r="D500" s="948"/>
      <c r="E500" s="948"/>
      <c r="F500" s="948"/>
      <c r="G500" s="951"/>
      <c r="H500" s="948"/>
      <c r="I500" s="450" t="s">
        <v>46</v>
      </c>
      <c r="J500" s="41">
        <v>1224141</v>
      </c>
      <c r="K500" s="52" t="s">
        <v>990</v>
      </c>
      <c r="L500" s="52"/>
      <c r="M500" s="50"/>
      <c r="N500" s="949"/>
      <c r="O500" s="950"/>
      <c r="P500" s="52"/>
      <c r="Q500" s="940"/>
      <c r="R500" s="931"/>
      <c r="S500" s="672"/>
      <c r="T500" s="449"/>
      <c r="U500" s="931"/>
      <c r="V500" s="41">
        <v>0</v>
      </c>
      <c r="W500" s="672">
        <v>0</v>
      </c>
      <c r="X500" s="931"/>
      <c r="Y500" s="930"/>
      <c r="Z500" s="843"/>
      <c r="AA500" s="940"/>
      <c r="AB500" s="843" t="e">
        <f t="shared" si="58"/>
        <v>#DIV/0!</v>
      </c>
      <c r="AC500" s="843" t="e">
        <f t="shared" si="59"/>
        <v>#DIV/0!</v>
      </c>
      <c r="AD500" s="843">
        <f t="shared" si="60"/>
        <v>0</v>
      </c>
      <c r="AE500" s="843">
        <f t="shared" si="61"/>
        <v>0</v>
      </c>
      <c r="AF500" s="938"/>
    </row>
    <row r="501" spans="1:32" ht="12.75" customHeight="1">
      <c r="A501" s="597" t="s">
        <v>1043</v>
      </c>
      <c r="B501" s="450" t="s">
        <v>1044</v>
      </c>
      <c r="C501" s="450" t="s">
        <v>1400</v>
      </c>
      <c r="D501" s="948"/>
      <c r="E501" s="948"/>
      <c r="F501" s="948"/>
      <c r="G501" s="951"/>
      <c r="H501" s="948"/>
      <c r="I501" s="450" t="s">
        <v>69</v>
      </c>
      <c r="J501" s="41">
        <v>2221222</v>
      </c>
      <c r="K501" s="52" t="s">
        <v>990</v>
      </c>
      <c r="L501" s="52"/>
      <c r="M501" s="50"/>
      <c r="N501" s="949"/>
      <c r="O501" s="950"/>
      <c r="P501" s="52"/>
      <c r="Q501" s="940"/>
      <c r="R501" s="931"/>
      <c r="S501" s="672"/>
      <c r="T501" s="449"/>
      <c r="U501" s="931"/>
      <c r="V501" s="41">
        <v>0</v>
      </c>
      <c r="W501" s="672">
        <v>0</v>
      </c>
      <c r="X501" s="931"/>
      <c r="Y501" s="930"/>
      <c r="Z501" s="843"/>
      <c r="AA501" s="940"/>
      <c r="AB501" s="843" t="e">
        <f t="shared" si="58"/>
        <v>#DIV/0!</v>
      </c>
      <c r="AC501" s="843" t="e">
        <f t="shared" si="59"/>
        <v>#DIV/0!</v>
      </c>
      <c r="AD501" s="843">
        <f t="shared" si="60"/>
        <v>0</v>
      </c>
      <c r="AE501" s="843">
        <f t="shared" si="61"/>
        <v>0</v>
      </c>
      <c r="AF501" s="938"/>
    </row>
    <row r="502" spans="1:32" ht="12.75" customHeight="1">
      <c r="A502" s="597" t="s">
        <v>1045</v>
      </c>
      <c r="B502" s="450" t="s">
        <v>1046</v>
      </c>
      <c r="C502" s="450" t="s">
        <v>1400</v>
      </c>
      <c r="D502" s="948"/>
      <c r="E502" s="948"/>
      <c r="F502" s="948"/>
      <c r="G502" s="951"/>
      <c r="H502" s="948"/>
      <c r="I502" s="450" t="s">
        <v>239</v>
      </c>
      <c r="J502" s="41">
        <v>107</v>
      </c>
      <c r="K502" s="52" t="s">
        <v>990</v>
      </c>
      <c r="L502" s="52"/>
      <c r="M502" s="50"/>
      <c r="N502" s="949"/>
      <c r="O502" s="950"/>
      <c r="P502" s="52"/>
      <c r="Q502" s="940"/>
      <c r="R502" s="931"/>
      <c r="S502" s="672"/>
      <c r="T502" s="449"/>
      <c r="U502" s="931"/>
      <c r="V502" s="41">
        <v>0</v>
      </c>
      <c r="W502" s="672">
        <v>0</v>
      </c>
      <c r="X502" s="931"/>
      <c r="Y502" s="930"/>
      <c r="Z502" s="843"/>
      <c r="AA502" s="940"/>
      <c r="AB502" s="843" t="e">
        <f t="shared" si="58"/>
        <v>#DIV/0!</v>
      </c>
      <c r="AC502" s="843" t="e">
        <f t="shared" si="59"/>
        <v>#DIV/0!</v>
      </c>
      <c r="AD502" s="843">
        <f t="shared" si="60"/>
        <v>0</v>
      </c>
      <c r="AE502" s="843">
        <f t="shared" si="61"/>
        <v>0</v>
      </c>
      <c r="AF502" s="939"/>
    </row>
    <row r="503" spans="1:32">
      <c r="A503" s="597" t="s">
        <v>1047</v>
      </c>
      <c r="B503" s="450" t="s">
        <v>1048</v>
      </c>
      <c r="C503" s="450" t="s">
        <v>1400</v>
      </c>
      <c r="D503" s="948" t="s">
        <v>43</v>
      </c>
      <c r="E503" s="948" t="s">
        <v>44</v>
      </c>
      <c r="F503" s="948" t="s">
        <v>55</v>
      </c>
      <c r="G503" s="951" t="s">
        <v>58</v>
      </c>
      <c r="H503" s="948" t="s">
        <v>62</v>
      </c>
      <c r="I503" s="450" t="s">
        <v>239</v>
      </c>
      <c r="J503" s="41">
        <v>97121</v>
      </c>
      <c r="K503" s="52" t="s">
        <v>219</v>
      </c>
      <c r="L503" s="52"/>
      <c r="M503" s="50"/>
      <c r="N503" s="949">
        <v>3.5000000000000001E-3</v>
      </c>
      <c r="O503" s="950">
        <v>4.8329999999999998E-4</v>
      </c>
      <c r="P503" s="52"/>
      <c r="Q503" s="940">
        <v>14848</v>
      </c>
      <c r="R503" s="931">
        <v>11686</v>
      </c>
      <c r="S503" s="672"/>
      <c r="T503" s="449"/>
      <c r="U503" s="931">
        <v>214</v>
      </c>
      <c r="V503" s="41">
        <v>1896</v>
      </c>
      <c r="W503" s="672">
        <v>148</v>
      </c>
      <c r="X503" s="931">
        <v>904</v>
      </c>
      <c r="Y503" s="930"/>
      <c r="Z503" s="843">
        <v>1.2999999999999999E-3</v>
      </c>
      <c r="AA503" s="940">
        <f>+R503+T503+U503+V503+X503</f>
        <v>14700</v>
      </c>
      <c r="AB503" s="843">
        <f t="shared" si="58"/>
        <v>0.79496598639455784</v>
      </c>
      <c r="AC503" s="843">
        <f t="shared" si="59"/>
        <v>1.4557823129251701E-2</v>
      </c>
      <c r="AD503" s="843">
        <f t="shared" si="60"/>
        <v>0.12032413175317387</v>
      </c>
      <c r="AE503" s="843">
        <f t="shared" si="61"/>
        <v>2.2034369497842899E-3</v>
      </c>
      <c r="AF503" s="937">
        <f>+(AA503/(J503+J504+J505+J506))+Z503</f>
        <v>2.6301998459060501E-2</v>
      </c>
    </row>
    <row r="504" spans="1:32" ht="12.75" customHeight="1">
      <c r="A504" s="597" t="s">
        <v>1049</v>
      </c>
      <c r="B504" s="450" t="s">
        <v>1050</v>
      </c>
      <c r="C504" s="450" t="s">
        <v>1400</v>
      </c>
      <c r="D504" s="948"/>
      <c r="E504" s="948"/>
      <c r="F504" s="948"/>
      <c r="G504" s="951"/>
      <c r="H504" s="948"/>
      <c r="I504" s="450" t="s">
        <v>46</v>
      </c>
      <c r="J504" s="41">
        <v>43359</v>
      </c>
      <c r="K504" s="52" t="s">
        <v>990</v>
      </c>
      <c r="L504" s="52"/>
      <c r="M504" s="50"/>
      <c r="N504" s="949"/>
      <c r="O504" s="950"/>
      <c r="P504" s="52"/>
      <c r="Q504" s="940"/>
      <c r="R504" s="931"/>
      <c r="S504" s="672"/>
      <c r="T504" s="449"/>
      <c r="U504" s="931"/>
      <c r="V504" s="41">
        <v>0</v>
      </c>
      <c r="W504" s="672">
        <v>0</v>
      </c>
      <c r="X504" s="931"/>
      <c r="Y504" s="930"/>
      <c r="Z504" s="843"/>
      <c r="AA504" s="940"/>
      <c r="AB504" s="843" t="e">
        <f t="shared" si="58"/>
        <v>#DIV/0!</v>
      </c>
      <c r="AC504" s="843" t="e">
        <f t="shared" si="59"/>
        <v>#DIV/0!</v>
      </c>
      <c r="AD504" s="843">
        <f t="shared" si="60"/>
        <v>0</v>
      </c>
      <c r="AE504" s="843">
        <f t="shared" si="61"/>
        <v>0</v>
      </c>
      <c r="AF504" s="938"/>
    </row>
    <row r="505" spans="1:32" ht="12.75" customHeight="1">
      <c r="A505" s="597" t="s">
        <v>1051</v>
      </c>
      <c r="B505" s="450" t="s">
        <v>1052</v>
      </c>
      <c r="C505" s="450" t="s">
        <v>1400</v>
      </c>
      <c r="D505" s="948"/>
      <c r="E505" s="948"/>
      <c r="F505" s="948"/>
      <c r="G505" s="951"/>
      <c r="H505" s="948"/>
      <c r="I505" s="450" t="s">
        <v>69</v>
      </c>
      <c r="J505" s="41">
        <v>447341</v>
      </c>
      <c r="K505" s="52" t="s">
        <v>990</v>
      </c>
      <c r="L505" s="52"/>
      <c r="M505" s="50"/>
      <c r="N505" s="949"/>
      <c r="O505" s="950"/>
      <c r="P505" s="52"/>
      <c r="Q505" s="940"/>
      <c r="R505" s="931"/>
      <c r="S505" s="672"/>
      <c r="T505" s="449"/>
      <c r="U505" s="931"/>
      <c r="V505" s="41">
        <v>0</v>
      </c>
      <c r="W505" s="672">
        <v>0</v>
      </c>
      <c r="X505" s="931"/>
      <c r="Y505" s="930"/>
      <c r="Z505" s="843"/>
      <c r="AA505" s="940"/>
      <c r="AB505" s="843" t="e">
        <f t="shared" si="58"/>
        <v>#DIV/0!</v>
      </c>
      <c r="AC505" s="843" t="e">
        <f t="shared" si="59"/>
        <v>#DIV/0!</v>
      </c>
      <c r="AD505" s="843">
        <f t="shared" si="60"/>
        <v>0</v>
      </c>
      <c r="AE505" s="843">
        <f t="shared" si="61"/>
        <v>0</v>
      </c>
      <c r="AF505" s="938"/>
    </row>
    <row r="506" spans="1:32" ht="12.75" customHeight="1">
      <c r="A506" s="597" t="s">
        <v>1053</v>
      </c>
      <c r="B506" s="450" t="s">
        <v>1054</v>
      </c>
      <c r="C506" s="450" t="s">
        <v>1400</v>
      </c>
      <c r="D506" s="948"/>
      <c r="E506" s="948"/>
      <c r="F506" s="948"/>
      <c r="G506" s="951"/>
      <c r="H506" s="948"/>
      <c r="I506" s="450" t="s">
        <v>239</v>
      </c>
      <c r="J506" s="41">
        <v>132</v>
      </c>
      <c r="K506" s="52" t="s">
        <v>990</v>
      </c>
      <c r="L506" s="52"/>
      <c r="M506" s="50"/>
      <c r="N506" s="949"/>
      <c r="O506" s="950"/>
      <c r="P506" s="52"/>
      <c r="Q506" s="940"/>
      <c r="R506" s="931"/>
      <c r="S506" s="672"/>
      <c r="T506" s="449"/>
      <c r="U506" s="931"/>
      <c r="V506" s="41">
        <v>0</v>
      </c>
      <c r="W506" s="672">
        <v>0</v>
      </c>
      <c r="X506" s="931"/>
      <c r="Y506" s="930"/>
      <c r="Z506" s="843"/>
      <c r="AA506" s="940"/>
      <c r="AB506" s="843" t="e">
        <f t="shared" si="58"/>
        <v>#DIV/0!</v>
      </c>
      <c r="AC506" s="843" t="e">
        <f t="shared" si="59"/>
        <v>#DIV/0!</v>
      </c>
      <c r="AD506" s="843">
        <f t="shared" si="60"/>
        <v>0</v>
      </c>
      <c r="AE506" s="843">
        <f t="shared" si="61"/>
        <v>0</v>
      </c>
      <c r="AF506" s="939"/>
    </row>
    <row r="507" spans="1:32">
      <c r="A507" s="105" t="s">
        <v>1055</v>
      </c>
      <c r="B507" s="450" t="s">
        <v>1056</v>
      </c>
      <c r="C507" s="450" t="s">
        <v>1400</v>
      </c>
      <c r="D507" s="948" t="s">
        <v>43</v>
      </c>
      <c r="E507" s="948" t="s">
        <v>44</v>
      </c>
      <c r="F507" s="948" t="s">
        <v>55</v>
      </c>
      <c r="G507" s="948" t="s">
        <v>58</v>
      </c>
      <c r="H507" s="948" t="s">
        <v>62</v>
      </c>
      <c r="I507" s="450" t="s">
        <v>69</v>
      </c>
      <c r="J507" s="41">
        <v>8341921</v>
      </c>
      <c r="K507" s="52" t="s">
        <v>219</v>
      </c>
      <c r="L507" s="52"/>
      <c r="M507" s="50"/>
      <c r="N507" s="949">
        <v>3.5000000000000001E-3</v>
      </c>
      <c r="O507" s="950"/>
      <c r="P507" s="52"/>
      <c r="Q507" s="940">
        <v>148864</v>
      </c>
      <c r="R507" s="931">
        <v>138082</v>
      </c>
      <c r="S507" s="672"/>
      <c r="T507" s="449"/>
      <c r="U507" s="931">
        <v>3030</v>
      </c>
      <c r="V507" s="41">
        <v>6512</v>
      </c>
      <c r="W507" s="672">
        <v>118</v>
      </c>
      <c r="X507" s="931">
        <v>1122</v>
      </c>
      <c r="Y507" s="930"/>
      <c r="Z507" s="843">
        <v>6.6E-3</v>
      </c>
      <c r="AA507" s="940">
        <f>+R507+T507+U507+V507+X507</f>
        <v>148746</v>
      </c>
      <c r="AB507" s="843">
        <f t="shared" si="58"/>
        <v>0.92830731582698023</v>
      </c>
      <c r="AC507" s="843">
        <f t="shared" si="59"/>
        <v>2.0370295671816384E-2</v>
      </c>
      <c r="AD507" s="843">
        <f t="shared" si="60"/>
        <v>1.655278202706547E-2</v>
      </c>
      <c r="AE507" s="843">
        <f t="shared" si="61"/>
        <v>3.6322568866331865E-4</v>
      </c>
      <c r="AF507" s="937">
        <f>+(AA507/(J507+J508+J509+J510))+Z507</f>
        <v>2.3182937766212081E-2</v>
      </c>
    </row>
    <row r="508" spans="1:32" ht="12.75" customHeight="1">
      <c r="A508" s="105" t="s">
        <v>1057</v>
      </c>
      <c r="B508" s="450" t="s">
        <v>1058</v>
      </c>
      <c r="C508" s="450" t="s">
        <v>1400</v>
      </c>
      <c r="D508" s="948"/>
      <c r="E508" s="948"/>
      <c r="F508" s="948"/>
      <c r="G508" s="948"/>
      <c r="H508" s="948"/>
      <c r="I508" s="450" t="s">
        <v>46</v>
      </c>
      <c r="J508" s="41">
        <v>312</v>
      </c>
      <c r="K508" s="52" t="s">
        <v>990</v>
      </c>
      <c r="L508" s="52"/>
      <c r="M508" s="50"/>
      <c r="N508" s="949"/>
      <c r="O508" s="950"/>
      <c r="P508" s="52"/>
      <c r="Q508" s="940"/>
      <c r="R508" s="931"/>
      <c r="S508" s="672"/>
      <c r="T508" s="449"/>
      <c r="U508" s="931"/>
      <c r="V508" s="41">
        <v>0</v>
      </c>
      <c r="W508" s="672">
        <v>0</v>
      </c>
      <c r="X508" s="931"/>
      <c r="Y508" s="930"/>
      <c r="Z508" s="843"/>
      <c r="AA508" s="940"/>
      <c r="AB508" s="843" t="e">
        <f t="shared" si="58"/>
        <v>#DIV/0!</v>
      </c>
      <c r="AC508" s="843" t="e">
        <f t="shared" si="59"/>
        <v>#DIV/0!</v>
      </c>
      <c r="AD508" s="843">
        <f t="shared" si="60"/>
        <v>0</v>
      </c>
      <c r="AE508" s="843">
        <f t="shared" si="61"/>
        <v>0</v>
      </c>
      <c r="AF508" s="938"/>
    </row>
    <row r="509" spans="1:32" ht="12.75" customHeight="1">
      <c r="A509" s="105" t="s">
        <v>1059</v>
      </c>
      <c r="B509" s="450" t="s">
        <v>1060</v>
      </c>
      <c r="C509" s="450" t="s">
        <v>1400</v>
      </c>
      <c r="D509" s="948"/>
      <c r="E509" s="948"/>
      <c r="F509" s="948"/>
      <c r="G509" s="948"/>
      <c r="H509" s="948"/>
      <c r="I509" s="450" t="s">
        <v>69</v>
      </c>
      <c r="J509" s="41">
        <v>627484</v>
      </c>
      <c r="K509" s="52" t="s">
        <v>990</v>
      </c>
      <c r="L509" s="52"/>
      <c r="M509" s="50"/>
      <c r="N509" s="949"/>
      <c r="O509" s="950"/>
      <c r="P509" s="52"/>
      <c r="Q509" s="940"/>
      <c r="R509" s="931"/>
      <c r="S509" s="672"/>
      <c r="T509" s="449"/>
      <c r="U509" s="931"/>
      <c r="V509" s="41">
        <v>0</v>
      </c>
      <c r="W509" s="672">
        <v>0</v>
      </c>
      <c r="X509" s="931"/>
      <c r="Y509" s="930"/>
      <c r="Z509" s="843"/>
      <c r="AA509" s="940"/>
      <c r="AB509" s="843" t="e">
        <f t="shared" si="58"/>
        <v>#DIV/0!</v>
      </c>
      <c r="AC509" s="843" t="e">
        <f t="shared" si="59"/>
        <v>#DIV/0!</v>
      </c>
      <c r="AD509" s="843">
        <f t="shared" si="60"/>
        <v>0</v>
      </c>
      <c r="AE509" s="843">
        <f t="shared" si="61"/>
        <v>0</v>
      </c>
      <c r="AF509" s="938"/>
    </row>
    <row r="510" spans="1:32" ht="12.75" customHeight="1">
      <c r="A510" s="105" t="s">
        <v>1061</v>
      </c>
      <c r="B510" s="450" t="s">
        <v>1062</v>
      </c>
      <c r="C510" s="450" t="s">
        <v>1400</v>
      </c>
      <c r="D510" s="948"/>
      <c r="E510" s="948"/>
      <c r="F510" s="948"/>
      <c r="G510" s="948"/>
      <c r="H510" s="948"/>
      <c r="I510" s="450" t="s">
        <v>239</v>
      </c>
      <c r="J510" s="41">
        <v>105</v>
      </c>
      <c r="K510" s="52" t="s">
        <v>990</v>
      </c>
      <c r="L510" s="52"/>
      <c r="M510" s="50"/>
      <c r="N510" s="949"/>
      <c r="O510" s="950"/>
      <c r="P510" s="52"/>
      <c r="Q510" s="940"/>
      <c r="R510" s="931"/>
      <c r="S510" s="672"/>
      <c r="T510" s="449"/>
      <c r="U510" s="931"/>
      <c r="V510" s="41">
        <v>0</v>
      </c>
      <c r="W510" s="672">
        <v>0</v>
      </c>
      <c r="X510" s="931"/>
      <c r="Y510" s="930"/>
      <c r="Z510" s="843"/>
      <c r="AA510" s="940"/>
      <c r="AB510" s="843" t="e">
        <f t="shared" si="58"/>
        <v>#DIV/0!</v>
      </c>
      <c r="AC510" s="843" t="e">
        <f t="shared" si="59"/>
        <v>#DIV/0!</v>
      </c>
      <c r="AD510" s="843">
        <f t="shared" si="60"/>
        <v>0</v>
      </c>
      <c r="AE510" s="843">
        <f t="shared" si="61"/>
        <v>0</v>
      </c>
      <c r="AF510" s="939"/>
    </row>
    <row r="511" spans="1:32">
      <c r="A511" s="103" t="s">
        <v>1063</v>
      </c>
      <c r="B511" s="40" t="s">
        <v>1064</v>
      </c>
      <c r="C511" s="40" t="s">
        <v>1401</v>
      </c>
      <c r="D511" s="943" t="s">
        <v>43</v>
      </c>
      <c r="E511" s="943" t="s">
        <v>44</v>
      </c>
      <c r="F511" s="943" t="s">
        <v>55</v>
      </c>
      <c r="G511" s="943" t="s">
        <v>830</v>
      </c>
      <c r="H511" s="943" t="s">
        <v>62</v>
      </c>
      <c r="I511" s="943" t="s">
        <v>46</v>
      </c>
      <c r="J511" s="867">
        <v>3645207162.5298805</v>
      </c>
      <c r="K511" s="944" t="s">
        <v>1066</v>
      </c>
      <c r="L511" s="944"/>
      <c r="M511" s="944"/>
      <c r="N511" s="944" t="s">
        <v>1068</v>
      </c>
      <c r="O511" s="945">
        <v>2.5000000000000001E-4</v>
      </c>
      <c r="P511" s="946" t="s">
        <v>1069</v>
      </c>
      <c r="Q511" s="866">
        <v>83087560</v>
      </c>
      <c r="R511" s="867">
        <v>73628197</v>
      </c>
      <c r="S511" s="868"/>
      <c r="T511" s="867"/>
      <c r="U511" s="867">
        <v>5522114</v>
      </c>
      <c r="V511" s="41">
        <v>3722421</v>
      </c>
      <c r="W511" s="672">
        <v>214828</v>
      </c>
      <c r="X511" s="933"/>
      <c r="Y511" s="868"/>
      <c r="Z511" s="841">
        <v>1.04E-2</v>
      </c>
      <c r="AA511" s="866">
        <f>+R511+T511+U511+V511+X511</f>
        <v>82872732</v>
      </c>
      <c r="AB511" s="841">
        <f t="shared" si="58"/>
        <v>0.88844901360317163</v>
      </c>
      <c r="AC511" s="841">
        <f t="shared" si="59"/>
        <v>6.6633666668549071E-2</v>
      </c>
      <c r="AD511" s="841">
        <f t="shared" si="60"/>
        <v>2.0198631714774717E-2</v>
      </c>
      <c r="AE511" s="841">
        <f t="shared" si="61"/>
        <v>1.5148971660001599E-3</v>
      </c>
      <c r="AF511" s="941">
        <f>+(AA511/J511)+Z511</f>
        <v>3.3134711171390295E-2</v>
      </c>
    </row>
    <row r="512" spans="1:32">
      <c r="A512" s="103" t="s">
        <v>1070</v>
      </c>
      <c r="B512" s="40" t="s">
        <v>1071</v>
      </c>
      <c r="C512" s="40" t="s">
        <v>1401</v>
      </c>
      <c r="D512" s="943"/>
      <c r="E512" s="943"/>
      <c r="F512" s="943"/>
      <c r="G512" s="943"/>
      <c r="H512" s="943"/>
      <c r="I512" s="943"/>
      <c r="J512" s="867"/>
      <c r="K512" s="944"/>
      <c r="L512" s="944"/>
      <c r="M512" s="944"/>
      <c r="N512" s="944"/>
      <c r="O512" s="945"/>
      <c r="P512" s="946"/>
      <c r="Q512" s="866"/>
      <c r="R512" s="867"/>
      <c r="S512" s="868"/>
      <c r="T512" s="867"/>
      <c r="U512" s="867"/>
      <c r="V512" s="41">
        <v>0</v>
      </c>
      <c r="W512" s="672">
        <v>0</v>
      </c>
      <c r="X512" s="933"/>
      <c r="Y512" s="868"/>
      <c r="Z512" s="841"/>
      <c r="AA512" s="866"/>
      <c r="AB512" s="841" t="e">
        <f t="shared" si="58"/>
        <v>#DIV/0!</v>
      </c>
      <c r="AC512" s="841" t="e">
        <f t="shared" si="59"/>
        <v>#DIV/0!</v>
      </c>
      <c r="AD512" s="841" t="e">
        <f t="shared" si="60"/>
        <v>#DIV/0!</v>
      </c>
      <c r="AE512" s="841" t="e">
        <f t="shared" si="61"/>
        <v>#DIV/0!</v>
      </c>
      <c r="AF512" s="941"/>
    </row>
    <row r="513" spans="1:32">
      <c r="A513" s="103" t="s">
        <v>1072</v>
      </c>
      <c r="B513" s="40" t="s">
        <v>1073</v>
      </c>
      <c r="C513" s="40" t="s">
        <v>1401</v>
      </c>
      <c r="D513" s="943" t="s">
        <v>43</v>
      </c>
      <c r="E513" s="943" t="s">
        <v>44</v>
      </c>
      <c r="F513" s="943" t="s">
        <v>55</v>
      </c>
      <c r="G513" s="943" t="s">
        <v>58</v>
      </c>
      <c r="H513" s="943" t="s">
        <v>62</v>
      </c>
      <c r="I513" s="943" t="s">
        <v>46</v>
      </c>
      <c r="J513" s="867">
        <v>389654069.89641434</v>
      </c>
      <c r="K513" s="944" t="s">
        <v>1074</v>
      </c>
      <c r="L513" s="944"/>
      <c r="M513" s="944"/>
      <c r="N513" s="944" t="s">
        <v>1075</v>
      </c>
      <c r="O513" s="945">
        <v>2.5000000000000001E-4</v>
      </c>
      <c r="P513" s="944"/>
      <c r="Q513" s="866">
        <v>4900753</v>
      </c>
      <c r="R513" s="867">
        <v>3934419</v>
      </c>
      <c r="S513" s="868"/>
      <c r="T513" s="867"/>
      <c r="U513" s="867">
        <v>314742</v>
      </c>
      <c r="V513" s="41">
        <v>515256</v>
      </c>
      <c r="W513" s="672">
        <v>136336</v>
      </c>
      <c r="X513" s="933"/>
      <c r="Y513" s="868"/>
      <c r="Z513" s="841">
        <v>4.0000000000000001E-3</v>
      </c>
      <c r="AA513" s="866">
        <f>+R513+T513+U513+V513+X513</f>
        <v>4764417</v>
      </c>
      <c r="AB513" s="841">
        <f t="shared" si="58"/>
        <v>0.82579232674218062</v>
      </c>
      <c r="AC513" s="841">
        <f t="shared" si="59"/>
        <v>6.6060968214998808E-2</v>
      </c>
      <c r="AD513" s="841">
        <f t="shared" si="60"/>
        <v>1.0097210074171498E-2</v>
      </c>
      <c r="AE513" s="841">
        <f t="shared" si="61"/>
        <v>8.0774724124829753E-4</v>
      </c>
      <c r="AF513" s="941">
        <f>+(AA513/J513)+Z513</f>
        <v>1.6227299464026061E-2</v>
      </c>
    </row>
    <row r="514" spans="1:32">
      <c r="A514" s="103" t="s">
        <v>1076</v>
      </c>
      <c r="B514" s="40" t="s">
        <v>1077</v>
      </c>
      <c r="C514" s="40" t="s">
        <v>1401</v>
      </c>
      <c r="D514" s="943"/>
      <c r="E514" s="943"/>
      <c r="F514" s="943"/>
      <c r="G514" s="943"/>
      <c r="H514" s="943"/>
      <c r="I514" s="943"/>
      <c r="J514" s="867"/>
      <c r="K514" s="944"/>
      <c r="L514" s="944"/>
      <c r="M514" s="944"/>
      <c r="N514" s="944"/>
      <c r="O514" s="945"/>
      <c r="P514" s="944"/>
      <c r="Q514" s="866"/>
      <c r="R514" s="867"/>
      <c r="S514" s="868"/>
      <c r="T514" s="867"/>
      <c r="U514" s="867"/>
      <c r="V514" s="41">
        <v>0</v>
      </c>
      <c r="W514" s="672">
        <v>0</v>
      </c>
      <c r="X514" s="933"/>
      <c r="Y514" s="868"/>
      <c r="Z514" s="841"/>
      <c r="AA514" s="866"/>
      <c r="AB514" s="841" t="e">
        <f t="shared" si="58"/>
        <v>#DIV/0!</v>
      </c>
      <c r="AC514" s="841" t="e">
        <f t="shared" si="59"/>
        <v>#DIV/0!</v>
      </c>
      <c r="AD514" s="841" t="e">
        <f t="shared" si="60"/>
        <v>#DIV/0!</v>
      </c>
      <c r="AE514" s="841" t="e">
        <f t="shared" si="61"/>
        <v>#DIV/0!</v>
      </c>
      <c r="AF514" s="941"/>
    </row>
    <row r="515" spans="1:32">
      <c r="A515" s="103" t="s">
        <v>1078</v>
      </c>
      <c r="B515" s="40" t="s">
        <v>1079</v>
      </c>
      <c r="C515" s="40" t="s">
        <v>1401</v>
      </c>
      <c r="D515" s="40" t="s">
        <v>43</v>
      </c>
      <c r="E515" s="40" t="s">
        <v>44</v>
      </c>
      <c r="F515" s="40" t="s">
        <v>1348</v>
      </c>
      <c r="G515" s="40" t="s">
        <v>641</v>
      </c>
      <c r="H515" s="40" t="s">
        <v>45</v>
      </c>
      <c r="I515" s="40" t="s">
        <v>46</v>
      </c>
      <c r="J515" s="606">
        <v>47441689792.737053</v>
      </c>
      <c r="K515" s="444" t="s">
        <v>1074</v>
      </c>
      <c r="L515" s="444"/>
      <c r="M515" s="444"/>
      <c r="N515" s="444">
        <v>0</v>
      </c>
      <c r="O515" s="454">
        <v>2.5000000000000001E-4</v>
      </c>
      <c r="P515" s="444"/>
      <c r="Q515" s="607">
        <v>562136350</v>
      </c>
      <c r="R515" s="606">
        <v>547386796</v>
      </c>
      <c r="S515" s="676"/>
      <c r="T515" s="606"/>
      <c r="U515" s="606"/>
      <c r="V515" s="41">
        <v>14657945</v>
      </c>
      <c r="W515" s="672">
        <v>91609</v>
      </c>
      <c r="X515" s="606"/>
      <c r="Y515" s="676"/>
      <c r="Z515" s="731"/>
      <c r="AA515" s="607">
        <f>+R515+T515+U515+V515+X515</f>
        <v>562044741</v>
      </c>
      <c r="AB515" s="608">
        <f t="shared" ref="AB515:AB551" si="64">+R515/AA515</f>
        <v>0.97392032354235658</v>
      </c>
      <c r="AC515" s="608">
        <f t="shared" ref="AC515:AC551" si="65">+U515/AA515</f>
        <v>0</v>
      </c>
      <c r="AD515" s="608">
        <f t="shared" ref="AD515:AD551" si="66">+R515/J515</f>
        <v>1.1538096522097335E-2</v>
      </c>
      <c r="AE515" s="608">
        <f t="shared" ref="AE515:AE551" si="67">+U515/J515</f>
        <v>0</v>
      </c>
      <c r="AF515" s="726">
        <f>+(AA515/J515)+Z515</f>
        <v>1.1847064121355234E-2</v>
      </c>
    </row>
    <row r="516" spans="1:32">
      <c r="A516" s="103" t="s">
        <v>1080</v>
      </c>
      <c r="B516" s="40" t="s">
        <v>1081</v>
      </c>
      <c r="C516" s="40" t="s">
        <v>1401</v>
      </c>
      <c r="D516" s="40" t="s">
        <v>43</v>
      </c>
      <c r="E516" s="40" t="s">
        <v>44</v>
      </c>
      <c r="F516" s="40" t="s">
        <v>884</v>
      </c>
      <c r="G516" s="40" t="s">
        <v>97</v>
      </c>
      <c r="H516" s="40" t="s">
        <v>45</v>
      </c>
      <c r="I516" s="40" t="s">
        <v>46</v>
      </c>
      <c r="J516" s="606">
        <v>15157238329.529881</v>
      </c>
      <c r="K516" s="444" t="s">
        <v>1074</v>
      </c>
      <c r="L516" s="444"/>
      <c r="M516" s="444"/>
      <c r="N516" s="444" t="s">
        <v>1082</v>
      </c>
      <c r="O516" s="454">
        <v>2.5000000000000001E-4</v>
      </c>
      <c r="P516" s="444"/>
      <c r="Q516" s="607">
        <v>262889515</v>
      </c>
      <c r="R516" s="606">
        <v>228714348</v>
      </c>
      <c r="S516" s="676"/>
      <c r="T516" s="606"/>
      <c r="U516" s="606">
        <v>15247632</v>
      </c>
      <c r="V516" s="41">
        <v>10121549</v>
      </c>
      <c r="W516" s="672">
        <v>8805986</v>
      </c>
      <c r="X516" s="606"/>
      <c r="Y516" s="676"/>
      <c r="Z516" s="731"/>
      <c r="AA516" s="607">
        <f>+R516+T516+U516+V516+X516</f>
        <v>254083529</v>
      </c>
      <c r="AB516" s="608">
        <f t="shared" si="64"/>
        <v>0.90015416937947201</v>
      </c>
      <c r="AC516" s="608">
        <f t="shared" si="65"/>
        <v>6.0010312592911126E-2</v>
      </c>
      <c r="AD516" s="608">
        <f t="shared" si="66"/>
        <v>1.5089447234883839E-2</v>
      </c>
      <c r="AE516" s="608">
        <f t="shared" si="67"/>
        <v>1.0059637295729534E-3</v>
      </c>
      <c r="AF516" s="726">
        <f>+(AA516/J516)+Z516</f>
        <v>1.67631809618633E-2</v>
      </c>
    </row>
    <row r="517" spans="1:32">
      <c r="A517" s="103" t="s">
        <v>1083</v>
      </c>
      <c r="B517" s="40" t="s">
        <v>1084</v>
      </c>
      <c r="C517" s="40" t="s">
        <v>1401</v>
      </c>
      <c r="D517" s="40" t="s">
        <v>43</v>
      </c>
      <c r="E517" s="40" t="s">
        <v>44</v>
      </c>
      <c r="F517" s="40" t="s">
        <v>884</v>
      </c>
      <c r="G517" s="40" t="s">
        <v>97</v>
      </c>
      <c r="H517" s="40" t="s">
        <v>45</v>
      </c>
      <c r="I517" s="40" t="s">
        <v>46</v>
      </c>
      <c r="J517" s="606">
        <v>703636445.84063745</v>
      </c>
      <c r="K517" s="444" t="s">
        <v>1085</v>
      </c>
      <c r="L517" s="444"/>
      <c r="M517" s="444"/>
      <c r="N517" s="444" t="s">
        <v>1086</v>
      </c>
      <c r="O517" s="454">
        <v>2.5000000000000001E-4</v>
      </c>
      <c r="P517" s="444"/>
      <c r="Q517" s="607">
        <v>9246438</v>
      </c>
      <c r="R517" s="606">
        <v>7051892</v>
      </c>
      <c r="S517" s="676"/>
      <c r="T517" s="606"/>
      <c r="U517" s="606">
        <v>846235</v>
      </c>
      <c r="V517" s="41">
        <v>1071817</v>
      </c>
      <c r="W517" s="672">
        <v>276494</v>
      </c>
      <c r="X517" s="606"/>
      <c r="Y517" s="676"/>
      <c r="Z517" s="731"/>
      <c r="AA517" s="607">
        <f>+R517+T517+U517+V517+X517</f>
        <v>8969944</v>
      </c>
      <c r="AB517" s="608">
        <f t="shared" si="64"/>
        <v>0.78616901064265288</v>
      </c>
      <c r="AC517" s="608">
        <f t="shared" si="65"/>
        <v>9.4341168685111082E-2</v>
      </c>
      <c r="AD517" s="608">
        <f t="shared" si="66"/>
        <v>1.0022067562994232E-2</v>
      </c>
      <c r="AE517" s="608">
        <f t="shared" si="67"/>
        <v>1.2026594202194849E-3</v>
      </c>
      <c r="AF517" s="726">
        <f>+(AA517/J517)+Z517</f>
        <v>1.2747980939622264E-2</v>
      </c>
    </row>
    <row r="518" spans="1:32">
      <c r="A518" s="103" t="s">
        <v>1087</v>
      </c>
      <c r="B518" s="40" t="s">
        <v>1088</v>
      </c>
      <c r="C518" s="40" t="s">
        <v>1401</v>
      </c>
      <c r="D518" s="943" t="s">
        <v>553</v>
      </c>
      <c r="E518" s="943" t="s">
        <v>621</v>
      </c>
      <c r="F518" s="943" t="s">
        <v>132</v>
      </c>
      <c r="G518" s="943" t="s">
        <v>116</v>
      </c>
      <c r="H518" s="943" t="s">
        <v>45</v>
      </c>
      <c r="I518" s="943" t="s">
        <v>46</v>
      </c>
      <c r="J518" s="867">
        <v>32535453660.179283</v>
      </c>
      <c r="K518" s="944" t="s">
        <v>1066</v>
      </c>
      <c r="L518" s="944"/>
      <c r="M518" s="944"/>
      <c r="N518" s="944" t="s">
        <v>1068</v>
      </c>
      <c r="O518" s="944" t="s">
        <v>1089</v>
      </c>
      <c r="P518" s="944"/>
      <c r="Q518" s="866">
        <v>3103509927</v>
      </c>
      <c r="R518" s="867">
        <v>131433411</v>
      </c>
      <c r="S518" s="868"/>
      <c r="T518" s="867"/>
      <c r="U518" s="867">
        <v>12063972</v>
      </c>
      <c r="V518" s="41">
        <v>526048633</v>
      </c>
      <c r="W518" s="672">
        <v>1120648</v>
      </c>
      <c r="X518" s="867"/>
      <c r="Y518" s="868">
        <v>2432843263</v>
      </c>
      <c r="Z518" s="842"/>
      <c r="AA518" s="866">
        <f>+R518+T518+U518+V518+X518</f>
        <v>669546016</v>
      </c>
      <c r="AB518" s="842">
        <f t="shared" si="64"/>
        <v>0.19630228223178614</v>
      </c>
      <c r="AC518" s="842">
        <f t="shared" si="65"/>
        <v>1.8018137232856002E-2</v>
      </c>
      <c r="AD518" s="842">
        <f t="shared" si="66"/>
        <v>4.0396981204802954E-3</v>
      </c>
      <c r="AE518" s="842">
        <f t="shared" si="67"/>
        <v>3.7079464531227082E-4</v>
      </c>
      <c r="AF518" s="941">
        <f>+(AA518/J518)+Z518</f>
        <v>2.0578966655672278E-2</v>
      </c>
    </row>
    <row r="519" spans="1:32">
      <c r="A519" s="103" t="s">
        <v>1090</v>
      </c>
      <c r="B519" s="40" t="s">
        <v>1091</v>
      </c>
      <c r="C519" s="40" t="s">
        <v>1401</v>
      </c>
      <c r="D519" s="943"/>
      <c r="E519" s="943"/>
      <c r="F519" s="943"/>
      <c r="G519" s="943"/>
      <c r="H519" s="943"/>
      <c r="I519" s="943"/>
      <c r="J519" s="867"/>
      <c r="K519" s="944"/>
      <c r="L519" s="944"/>
      <c r="M519" s="944"/>
      <c r="N519" s="944"/>
      <c r="O519" s="947"/>
      <c r="P519" s="944"/>
      <c r="Q519" s="866"/>
      <c r="R519" s="867"/>
      <c r="S519" s="868"/>
      <c r="T519" s="867"/>
      <c r="U519" s="867"/>
      <c r="V519" s="41">
        <v>0</v>
      </c>
      <c r="W519" s="672">
        <v>0</v>
      </c>
      <c r="X519" s="867"/>
      <c r="Y519" s="868"/>
      <c r="Z519" s="842"/>
      <c r="AA519" s="866"/>
      <c r="AB519" s="842" t="e">
        <f t="shared" si="64"/>
        <v>#DIV/0!</v>
      </c>
      <c r="AC519" s="842" t="e">
        <f t="shared" si="65"/>
        <v>#DIV/0!</v>
      </c>
      <c r="AD519" s="842" t="e">
        <f t="shared" si="66"/>
        <v>#DIV/0!</v>
      </c>
      <c r="AE519" s="842" t="e">
        <f t="shared" si="67"/>
        <v>#DIV/0!</v>
      </c>
      <c r="AF519" s="941"/>
    </row>
    <row r="520" spans="1:32">
      <c r="A520" s="103" t="s">
        <v>1092</v>
      </c>
      <c r="B520" s="40" t="s">
        <v>1093</v>
      </c>
      <c r="C520" s="40" t="s">
        <v>1401</v>
      </c>
      <c r="D520" s="943"/>
      <c r="E520" s="943"/>
      <c r="F520" s="943"/>
      <c r="G520" s="943"/>
      <c r="H520" s="943"/>
      <c r="I520" s="943"/>
      <c r="J520" s="867"/>
      <c r="K520" s="944"/>
      <c r="L520" s="944"/>
      <c r="M520" s="944"/>
      <c r="N520" s="944"/>
      <c r="O520" s="947"/>
      <c r="P520" s="944"/>
      <c r="Q520" s="866"/>
      <c r="R520" s="867"/>
      <c r="S520" s="868"/>
      <c r="T520" s="867"/>
      <c r="U520" s="867"/>
      <c r="V520" s="41">
        <v>0</v>
      </c>
      <c r="W520" s="672">
        <v>0</v>
      </c>
      <c r="X520" s="867"/>
      <c r="Y520" s="868"/>
      <c r="Z520" s="842"/>
      <c r="AA520" s="866"/>
      <c r="AB520" s="842" t="e">
        <f t="shared" si="64"/>
        <v>#DIV/0!</v>
      </c>
      <c r="AC520" s="842" t="e">
        <f t="shared" si="65"/>
        <v>#DIV/0!</v>
      </c>
      <c r="AD520" s="842" t="e">
        <f t="shared" si="66"/>
        <v>#DIV/0!</v>
      </c>
      <c r="AE520" s="842" t="e">
        <f t="shared" si="67"/>
        <v>#DIV/0!</v>
      </c>
      <c r="AF520" s="941"/>
    </row>
    <row r="521" spans="1:32">
      <c r="A521" s="103" t="s">
        <v>1094</v>
      </c>
      <c r="B521" s="40" t="s">
        <v>1095</v>
      </c>
      <c r="C521" s="40" t="s">
        <v>1401</v>
      </c>
      <c r="D521" s="943"/>
      <c r="E521" s="943"/>
      <c r="F521" s="943"/>
      <c r="G521" s="943"/>
      <c r="H521" s="943"/>
      <c r="I521" s="943"/>
      <c r="J521" s="867"/>
      <c r="K521" s="944"/>
      <c r="L521" s="944"/>
      <c r="M521" s="944"/>
      <c r="N521" s="944"/>
      <c r="O521" s="947"/>
      <c r="P521" s="944"/>
      <c r="Q521" s="866"/>
      <c r="R521" s="867"/>
      <c r="S521" s="868"/>
      <c r="T521" s="867"/>
      <c r="U521" s="867"/>
      <c r="V521" s="41">
        <v>0</v>
      </c>
      <c r="W521" s="672">
        <v>0</v>
      </c>
      <c r="X521" s="867"/>
      <c r="Y521" s="868"/>
      <c r="Z521" s="842"/>
      <c r="AA521" s="866"/>
      <c r="AB521" s="842" t="e">
        <f t="shared" si="64"/>
        <v>#DIV/0!</v>
      </c>
      <c r="AC521" s="842" t="e">
        <f t="shared" si="65"/>
        <v>#DIV/0!</v>
      </c>
      <c r="AD521" s="842" t="e">
        <f t="shared" si="66"/>
        <v>#DIV/0!</v>
      </c>
      <c r="AE521" s="842" t="e">
        <f t="shared" si="67"/>
        <v>#DIV/0!</v>
      </c>
      <c r="AF521" s="941"/>
    </row>
    <row r="522" spans="1:32">
      <c r="A522" s="103" t="s">
        <v>1096</v>
      </c>
      <c r="B522" s="40" t="s">
        <v>1097</v>
      </c>
      <c r="C522" s="40" t="s">
        <v>1401</v>
      </c>
      <c r="D522" s="943" t="s">
        <v>43</v>
      </c>
      <c r="E522" s="943" t="s">
        <v>44</v>
      </c>
      <c r="F522" s="943" t="s">
        <v>1348</v>
      </c>
      <c r="G522" s="943" t="s">
        <v>48</v>
      </c>
      <c r="H522" s="943" t="s">
        <v>45</v>
      </c>
      <c r="I522" s="943" t="s">
        <v>46</v>
      </c>
      <c r="J522" s="867">
        <v>3998901292.9163346</v>
      </c>
      <c r="K522" s="944" t="s">
        <v>1074</v>
      </c>
      <c r="L522" s="944"/>
      <c r="M522" s="944"/>
      <c r="N522" s="944" t="s">
        <v>1068</v>
      </c>
      <c r="O522" s="945">
        <v>2.5000000000000001E-4</v>
      </c>
      <c r="P522" s="946" t="s">
        <v>1098</v>
      </c>
      <c r="Q522" s="866">
        <v>60573250</v>
      </c>
      <c r="R522" s="867">
        <v>52217848</v>
      </c>
      <c r="S522" s="868"/>
      <c r="T522" s="867"/>
      <c r="U522" s="867">
        <v>4016765</v>
      </c>
      <c r="V522" s="41">
        <v>3851049</v>
      </c>
      <c r="W522" s="672">
        <v>487588</v>
      </c>
      <c r="X522" s="867"/>
      <c r="Y522" s="868"/>
      <c r="Z522" s="842"/>
      <c r="AA522" s="866">
        <f>+R522+T522+U522+V522+X522</f>
        <v>60085662</v>
      </c>
      <c r="AB522" s="842">
        <f t="shared" si="64"/>
        <v>0.86905671439552412</v>
      </c>
      <c r="AC522" s="842">
        <f t="shared" si="65"/>
        <v>6.6850640673643574E-2</v>
      </c>
      <c r="AD522" s="842">
        <f t="shared" si="66"/>
        <v>1.3058048742663102E-2</v>
      </c>
      <c r="AE522" s="842">
        <f t="shared" si="67"/>
        <v>1.0044671537942956E-3</v>
      </c>
      <c r="AF522" s="941">
        <f>+(AA522/J522)+Z522</f>
        <v>1.5025542667541187E-2</v>
      </c>
    </row>
    <row r="523" spans="1:32">
      <c r="A523" s="103" t="s">
        <v>1099</v>
      </c>
      <c r="B523" s="40" t="s">
        <v>1100</v>
      </c>
      <c r="C523" s="40" t="s">
        <v>1401</v>
      </c>
      <c r="D523" s="943"/>
      <c r="E523" s="943"/>
      <c r="F523" s="943"/>
      <c r="G523" s="943"/>
      <c r="H523" s="943"/>
      <c r="I523" s="943"/>
      <c r="J523" s="867"/>
      <c r="K523" s="944"/>
      <c r="L523" s="944"/>
      <c r="M523" s="944"/>
      <c r="N523" s="944"/>
      <c r="O523" s="945"/>
      <c r="P523" s="946"/>
      <c r="Q523" s="866"/>
      <c r="R523" s="867"/>
      <c r="S523" s="868"/>
      <c r="T523" s="867"/>
      <c r="U523" s="867"/>
      <c r="V523" s="41">
        <v>0</v>
      </c>
      <c r="W523" s="672">
        <v>0</v>
      </c>
      <c r="X523" s="867"/>
      <c r="Y523" s="868"/>
      <c r="Z523" s="842"/>
      <c r="AA523" s="866"/>
      <c r="AB523" s="842" t="e">
        <f t="shared" si="64"/>
        <v>#DIV/0!</v>
      </c>
      <c r="AC523" s="842" t="e">
        <f t="shared" si="65"/>
        <v>#DIV/0!</v>
      </c>
      <c r="AD523" s="842" t="e">
        <f t="shared" si="66"/>
        <v>#DIV/0!</v>
      </c>
      <c r="AE523" s="842" t="e">
        <f t="shared" si="67"/>
        <v>#DIV/0!</v>
      </c>
      <c r="AF523" s="941"/>
    </row>
    <row r="524" spans="1:32">
      <c r="A524" s="103" t="s">
        <v>1101</v>
      </c>
      <c r="B524" s="40" t="s">
        <v>1102</v>
      </c>
      <c r="C524" s="40" t="s">
        <v>1401</v>
      </c>
      <c r="D524" s="40" t="s">
        <v>43</v>
      </c>
      <c r="E524" s="40" t="s">
        <v>44</v>
      </c>
      <c r="F524" s="40" t="s">
        <v>1348</v>
      </c>
      <c r="G524" s="40" t="s">
        <v>641</v>
      </c>
      <c r="H524" s="40" t="s">
        <v>45</v>
      </c>
      <c r="I524" s="40" t="s">
        <v>46</v>
      </c>
      <c r="J524" s="606">
        <v>14971659128.035856</v>
      </c>
      <c r="K524" s="444" t="s">
        <v>1074</v>
      </c>
      <c r="L524" s="444"/>
      <c r="M524" s="444"/>
      <c r="N524" s="444" t="s">
        <v>1082</v>
      </c>
      <c r="O524" s="454">
        <v>2.5000000000000001E-4</v>
      </c>
      <c r="P524" s="444" t="s">
        <v>1067</v>
      </c>
      <c r="Q524" s="607">
        <v>231506621</v>
      </c>
      <c r="R524" s="606">
        <v>209673020</v>
      </c>
      <c r="S524" s="676"/>
      <c r="T524" s="606"/>
      <c r="U524" s="606">
        <v>15084381</v>
      </c>
      <c r="V524" s="41">
        <v>6550374</v>
      </c>
      <c r="W524" s="672">
        <v>198846</v>
      </c>
      <c r="X524" s="606"/>
      <c r="Y524" s="676"/>
      <c r="Z524" s="731"/>
      <c r="AA524" s="607">
        <f>+R524+T524+U524+V524+X524</f>
        <v>231307775</v>
      </c>
      <c r="AB524" s="608">
        <f t="shared" si="64"/>
        <v>0.90646767061764355</v>
      </c>
      <c r="AC524" s="608">
        <f t="shared" si="65"/>
        <v>6.521346288511054E-2</v>
      </c>
      <c r="AD524" s="608">
        <f t="shared" si="66"/>
        <v>1.4004661621460999E-2</v>
      </c>
      <c r="AE524" s="608">
        <f t="shared" si="67"/>
        <v>1.0075290167242093E-3</v>
      </c>
      <c r="AF524" s="726">
        <f>+(AA524/J524)+Z524</f>
        <v>1.544970888141944E-2</v>
      </c>
    </row>
    <row r="525" spans="1:32">
      <c r="A525" s="103" t="s">
        <v>1103</v>
      </c>
      <c r="B525" s="40" t="s">
        <v>1104</v>
      </c>
      <c r="C525" s="40" t="s">
        <v>1401</v>
      </c>
      <c r="D525" s="943" t="s">
        <v>43</v>
      </c>
      <c r="E525" s="943" t="s">
        <v>44</v>
      </c>
      <c r="F525" s="943" t="s">
        <v>1348</v>
      </c>
      <c r="G525" s="943" t="s">
        <v>58</v>
      </c>
      <c r="H525" s="943" t="s">
        <v>62</v>
      </c>
      <c r="I525" s="943" t="s">
        <v>46</v>
      </c>
      <c r="J525" s="867">
        <v>1885858655.9681275</v>
      </c>
      <c r="K525" s="944" t="s">
        <v>1066</v>
      </c>
      <c r="L525" s="944"/>
      <c r="M525" s="944"/>
      <c r="N525" s="944" t="s">
        <v>1105</v>
      </c>
      <c r="O525" s="945">
        <v>2.5000000000000001E-4</v>
      </c>
      <c r="P525" s="946" t="s">
        <v>1069</v>
      </c>
      <c r="Q525" s="866">
        <v>47753709</v>
      </c>
      <c r="R525" s="867">
        <v>38068282</v>
      </c>
      <c r="S525" s="868"/>
      <c r="T525" s="867"/>
      <c r="U525" s="867">
        <v>3426155</v>
      </c>
      <c r="V525" s="41">
        <v>3324086</v>
      </c>
      <c r="W525" s="672">
        <v>2935186</v>
      </c>
      <c r="X525" s="867"/>
      <c r="Y525" s="868"/>
      <c r="Z525" s="842"/>
      <c r="AA525" s="866">
        <f>+R525+T525+U525+V525+X525</f>
        <v>44818523</v>
      </c>
      <c r="AB525" s="842">
        <f t="shared" si="64"/>
        <v>0.8493872499992916</v>
      </c>
      <c r="AC525" s="842">
        <f t="shared" si="65"/>
        <v>7.6445067143332684E-2</v>
      </c>
      <c r="AD525" s="842">
        <f t="shared" si="66"/>
        <v>2.018617984944222E-2</v>
      </c>
      <c r="AE525" s="842">
        <f t="shared" si="67"/>
        <v>1.8167612875744092E-3</v>
      </c>
      <c r="AF525" s="941">
        <f>+(AA525/J525)+Z525</f>
        <v>2.3765579068274281E-2</v>
      </c>
    </row>
    <row r="526" spans="1:32">
      <c r="A526" s="103" t="s">
        <v>1106</v>
      </c>
      <c r="B526" s="40" t="s">
        <v>1107</v>
      </c>
      <c r="C526" s="40" t="s">
        <v>1401</v>
      </c>
      <c r="D526" s="943"/>
      <c r="E526" s="943"/>
      <c r="F526" s="943"/>
      <c r="G526" s="943"/>
      <c r="H526" s="943"/>
      <c r="I526" s="943"/>
      <c r="J526" s="867"/>
      <c r="K526" s="944"/>
      <c r="L526" s="944"/>
      <c r="M526" s="944"/>
      <c r="N526" s="944"/>
      <c r="O526" s="945"/>
      <c r="P526" s="946"/>
      <c r="Q526" s="866"/>
      <c r="R526" s="867"/>
      <c r="S526" s="868"/>
      <c r="T526" s="867"/>
      <c r="U526" s="867"/>
      <c r="V526" s="41">
        <v>0</v>
      </c>
      <c r="W526" s="672">
        <v>0</v>
      </c>
      <c r="X526" s="867"/>
      <c r="Y526" s="868"/>
      <c r="Z526" s="842"/>
      <c r="AA526" s="866"/>
      <c r="AB526" s="842" t="e">
        <f t="shared" si="64"/>
        <v>#DIV/0!</v>
      </c>
      <c r="AC526" s="842" t="e">
        <f t="shared" si="65"/>
        <v>#DIV/0!</v>
      </c>
      <c r="AD526" s="842" t="e">
        <f t="shared" si="66"/>
        <v>#DIV/0!</v>
      </c>
      <c r="AE526" s="842" t="e">
        <f t="shared" si="67"/>
        <v>#DIV/0!</v>
      </c>
      <c r="AF526" s="941"/>
    </row>
    <row r="527" spans="1:32">
      <c r="A527" s="103" t="s">
        <v>1108</v>
      </c>
      <c r="B527" s="40" t="s">
        <v>1109</v>
      </c>
      <c r="C527" s="40" t="s">
        <v>1401</v>
      </c>
      <c r="D527" s="40" t="s">
        <v>43</v>
      </c>
      <c r="E527" s="40" t="s">
        <v>44</v>
      </c>
      <c r="F527" s="40" t="s">
        <v>1348</v>
      </c>
      <c r="G527" s="40" t="s">
        <v>81</v>
      </c>
      <c r="H527" s="40" t="s">
        <v>45</v>
      </c>
      <c r="I527" s="40" t="s">
        <v>46</v>
      </c>
      <c r="J527" s="606">
        <v>45080748763.051796</v>
      </c>
      <c r="K527" s="444" t="s">
        <v>1074</v>
      </c>
      <c r="L527" s="444"/>
      <c r="M527" s="444"/>
      <c r="N527" s="444" t="s">
        <v>1082</v>
      </c>
      <c r="O527" s="454">
        <v>2.5000000000000001E-4</v>
      </c>
      <c r="P527" s="444"/>
      <c r="Q527" s="607">
        <v>493342715</v>
      </c>
      <c r="R527" s="606">
        <v>445127574</v>
      </c>
      <c r="S527" s="676"/>
      <c r="T527" s="606"/>
      <c r="U527" s="606">
        <v>31705943</v>
      </c>
      <c r="V527" s="41">
        <v>14435974</v>
      </c>
      <c r="W527" s="672">
        <v>2073224</v>
      </c>
      <c r="X527" s="606"/>
      <c r="Y527" s="676"/>
      <c r="Z527" s="731"/>
      <c r="AA527" s="607">
        <f>+R527+T527+U527+V527+X527</f>
        <v>491269491</v>
      </c>
      <c r="AB527" s="608">
        <f t="shared" si="64"/>
        <v>0.90607616014160341</v>
      </c>
      <c r="AC527" s="608">
        <f t="shared" si="65"/>
        <v>6.453879913336609E-2</v>
      </c>
      <c r="AD527" s="608">
        <f t="shared" si="66"/>
        <v>9.874005783258569E-3</v>
      </c>
      <c r="AE527" s="608">
        <f t="shared" si="67"/>
        <v>7.0331447169720053E-4</v>
      </c>
      <c r="AF527" s="726">
        <f>+(AA527/J527)+Z527</f>
        <v>1.0897545060357221E-2</v>
      </c>
    </row>
    <row r="528" spans="1:32">
      <c r="A528" s="103" t="s">
        <v>1110</v>
      </c>
      <c r="B528" s="40" t="s">
        <v>1111</v>
      </c>
      <c r="C528" s="40" t="s">
        <v>1401</v>
      </c>
      <c r="D528" s="943" t="s">
        <v>43</v>
      </c>
      <c r="E528" s="943" t="s">
        <v>44</v>
      </c>
      <c r="F528" s="943" t="s">
        <v>55</v>
      </c>
      <c r="G528" s="943" t="s">
        <v>88</v>
      </c>
      <c r="H528" s="943" t="s">
        <v>45</v>
      </c>
      <c r="I528" s="943" t="s">
        <v>46</v>
      </c>
      <c r="J528" s="867">
        <v>542447075.48207176</v>
      </c>
      <c r="K528" s="944" t="s">
        <v>1112</v>
      </c>
      <c r="L528" s="944"/>
      <c r="M528" s="944"/>
      <c r="N528" s="944" t="s">
        <v>1113</v>
      </c>
      <c r="O528" s="945">
        <v>2.5000000000000001E-4</v>
      </c>
      <c r="P528" s="944"/>
      <c r="Q528" s="866">
        <v>5357241</v>
      </c>
      <c r="R528" s="867">
        <v>2711592</v>
      </c>
      <c r="S528" s="868"/>
      <c r="T528" s="867">
        <v>9000</v>
      </c>
      <c r="U528" s="867">
        <v>436714</v>
      </c>
      <c r="V528" s="41">
        <v>553354</v>
      </c>
      <c r="W528" s="672">
        <v>1637581</v>
      </c>
      <c r="X528" s="933">
        <v>9000</v>
      </c>
      <c r="Y528" s="868"/>
      <c r="Z528" s="841">
        <v>6.6E-3</v>
      </c>
      <c r="AA528" s="866">
        <f>+R528+T528+U528+V528+X528</f>
        <v>3719660</v>
      </c>
      <c r="AB528" s="841">
        <f t="shared" si="64"/>
        <v>0.72898920869111694</v>
      </c>
      <c r="AC528" s="841">
        <f t="shared" si="65"/>
        <v>0.11740696730346321</v>
      </c>
      <c r="AD528" s="841">
        <f t="shared" si="66"/>
        <v>4.9988139351478909E-3</v>
      </c>
      <c r="AE528" s="841">
        <f t="shared" si="67"/>
        <v>8.0508130606454656E-4</v>
      </c>
      <c r="AF528" s="941">
        <f>+(AA528/J528)+Z528</f>
        <v>1.345718509348464E-2</v>
      </c>
    </row>
    <row r="529" spans="1:32">
      <c r="A529" s="103" t="s">
        <v>1114</v>
      </c>
      <c r="B529" s="40" t="s">
        <v>1115</v>
      </c>
      <c r="C529" s="40" t="s">
        <v>1401</v>
      </c>
      <c r="D529" s="943"/>
      <c r="E529" s="943"/>
      <c r="F529" s="943"/>
      <c r="G529" s="943"/>
      <c r="H529" s="943"/>
      <c r="I529" s="943"/>
      <c r="J529" s="867"/>
      <c r="K529" s="944"/>
      <c r="L529" s="944"/>
      <c r="M529" s="944"/>
      <c r="N529" s="944"/>
      <c r="O529" s="945"/>
      <c r="P529" s="944"/>
      <c r="Q529" s="866"/>
      <c r="R529" s="867"/>
      <c r="S529" s="868"/>
      <c r="T529" s="867"/>
      <c r="U529" s="867"/>
      <c r="V529" s="41">
        <v>0</v>
      </c>
      <c r="W529" s="672">
        <v>0</v>
      </c>
      <c r="X529" s="933"/>
      <c r="Y529" s="868"/>
      <c r="Z529" s="841"/>
      <c r="AA529" s="866"/>
      <c r="AB529" s="841" t="e">
        <f t="shared" si="64"/>
        <v>#DIV/0!</v>
      </c>
      <c r="AC529" s="841" t="e">
        <f t="shared" si="65"/>
        <v>#DIV/0!</v>
      </c>
      <c r="AD529" s="841" t="e">
        <f t="shared" si="66"/>
        <v>#DIV/0!</v>
      </c>
      <c r="AE529" s="841" t="e">
        <f t="shared" si="67"/>
        <v>#DIV/0!</v>
      </c>
      <c r="AF529" s="941"/>
    </row>
    <row r="530" spans="1:32">
      <c r="A530" s="103" t="s">
        <v>1116</v>
      </c>
      <c r="B530" s="40" t="s">
        <v>1117</v>
      </c>
      <c r="C530" s="40" t="s">
        <v>1401</v>
      </c>
      <c r="D530" s="40" t="s">
        <v>43</v>
      </c>
      <c r="E530" s="40" t="s">
        <v>44</v>
      </c>
      <c r="F530" s="40" t="s">
        <v>55</v>
      </c>
      <c r="G530" s="40" t="s">
        <v>88</v>
      </c>
      <c r="H530" s="40" t="s">
        <v>62</v>
      </c>
      <c r="I530" s="40" t="s">
        <v>69</v>
      </c>
      <c r="J530" s="41">
        <v>2564228.0444223131</v>
      </c>
      <c r="K530" s="444" t="s">
        <v>1112</v>
      </c>
      <c r="L530" s="444"/>
      <c r="M530" s="444"/>
      <c r="N530" s="444" t="s">
        <v>1113</v>
      </c>
      <c r="O530" s="454">
        <v>2.5000000000000001E-4</v>
      </c>
      <c r="P530" s="444"/>
      <c r="Q530" s="434">
        <v>29843.8</v>
      </c>
      <c r="R530" s="41">
        <v>12866.67</v>
      </c>
      <c r="S530" s="672"/>
      <c r="T530" s="41">
        <v>53.83</v>
      </c>
      <c r="U530" s="41">
        <v>2062.1</v>
      </c>
      <c r="V530" s="41">
        <v>2039.7599999999998</v>
      </c>
      <c r="W530" s="672">
        <v>12767.61</v>
      </c>
      <c r="X530" s="449">
        <v>53.83</v>
      </c>
      <c r="Y530" s="672"/>
      <c r="Z530" s="729">
        <v>3.2000000000000002E-3</v>
      </c>
      <c r="AA530" s="434">
        <f>+R530+T530+U530+V530+X530</f>
        <v>17076.190000000002</v>
      </c>
      <c r="AB530" s="448">
        <f t="shared" si="64"/>
        <v>0.75348599424110407</v>
      </c>
      <c r="AC530" s="448">
        <f t="shared" si="65"/>
        <v>0.12075878752813125</v>
      </c>
      <c r="AD530" s="448">
        <f t="shared" si="66"/>
        <v>5.0177557444578578E-3</v>
      </c>
      <c r="AE530" s="448">
        <f t="shared" si="67"/>
        <v>8.0417964559956439E-4</v>
      </c>
      <c r="AF530" s="721">
        <f>+(AA530/J530)+Z530</f>
        <v>9.8593882073569807E-3</v>
      </c>
    </row>
    <row r="531" spans="1:32">
      <c r="A531" s="103" t="s">
        <v>1118</v>
      </c>
      <c r="B531" s="40" t="s">
        <v>1119</v>
      </c>
      <c r="C531" s="40" t="s">
        <v>1401</v>
      </c>
      <c r="D531" s="40" t="s">
        <v>43</v>
      </c>
      <c r="E531" s="40" t="s">
        <v>44</v>
      </c>
      <c r="F531" s="40" t="s">
        <v>55</v>
      </c>
      <c r="G531" s="40" t="s">
        <v>88</v>
      </c>
      <c r="H531" s="40" t="s">
        <v>45</v>
      </c>
      <c r="I531" s="40" t="s">
        <v>46</v>
      </c>
      <c r="J531" s="606">
        <v>111745321.2430279</v>
      </c>
      <c r="K531" s="444" t="s">
        <v>1120</v>
      </c>
      <c r="L531" s="444"/>
      <c r="M531" s="444"/>
      <c r="N531" s="444" t="s">
        <v>1113</v>
      </c>
      <c r="O531" s="454">
        <v>2.5000000000000001E-4</v>
      </c>
      <c r="P531" s="444"/>
      <c r="Q531" s="607">
        <v>935459</v>
      </c>
      <c r="R531" s="606">
        <v>273235</v>
      </c>
      <c r="S531" s="676"/>
      <c r="T531" s="606">
        <v>7000</v>
      </c>
      <c r="U531" s="606">
        <v>91367</v>
      </c>
      <c r="V531" s="41">
        <v>445896</v>
      </c>
      <c r="W531" s="672">
        <v>110961</v>
      </c>
      <c r="X531" s="609">
        <v>7000</v>
      </c>
      <c r="Y531" s="676"/>
      <c r="Z531" s="730">
        <v>6.4000000000000003E-3</v>
      </c>
      <c r="AA531" s="607">
        <f>+R531+T531+U531+V531+X531</f>
        <v>824498</v>
      </c>
      <c r="AB531" s="610">
        <f t="shared" si="64"/>
        <v>0.3313955885884502</v>
      </c>
      <c r="AC531" s="610">
        <f t="shared" si="65"/>
        <v>0.11081530822391322</v>
      </c>
      <c r="AD531" s="610">
        <f t="shared" si="66"/>
        <v>2.4451583024738756E-3</v>
      </c>
      <c r="AE531" s="610">
        <f t="shared" si="67"/>
        <v>8.1763602255249357E-4</v>
      </c>
      <c r="AF531" s="726">
        <f>+(AA531/J531)+Z531</f>
        <v>1.3778367083547516E-2</v>
      </c>
    </row>
    <row r="532" spans="1:32">
      <c r="A532" s="103" t="s">
        <v>1121</v>
      </c>
      <c r="B532" s="40" t="s">
        <v>1122</v>
      </c>
      <c r="C532" s="40" t="s">
        <v>1401</v>
      </c>
      <c r="D532" s="943" t="s">
        <v>43</v>
      </c>
      <c r="E532" s="943" t="s">
        <v>44</v>
      </c>
      <c r="F532" s="943" t="s">
        <v>55</v>
      </c>
      <c r="G532" s="943" t="s">
        <v>97</v>
      </c>
      <c r="H532" s="943" t="s">
        <v>45</v>
      </c>
      <c r="I532" s="943" t="s">
        <v>46</v>
      </c>
      <c r="J532" s="867">
        <v>12198361294.414343</v>
      </c>
      <c r="K532" s="944" t="s">
        <v>1085</v>
      </c>
      <c r="L532" s="944"/>
      <c r="M532" s="944"/>
      <c r="N532" s="944" t="s">
        <v>1113</v>
      </c>
      <c r="O532" s="945">
        <v>2.5000000000000001E-4</v>
      </c>
      <c r="P532" s="944"/>
      <c r="Q532" s="866">
        <v>206692591</v>
      </c>
      <c r="R532" s="867">
        <v>190519713</v>
      </c>
      <c r="S532" s="868"/>
      <c r="T532" s="867">
        <v>315000</v>
      </c>
      <c r="U532" s="867">
        <v>9730162</v>
      </c>
      <c r="V532" s="41">
        <v>5249333</v>
      </c>
      <c r="W532" s="672">
        <v>563383</v>
      </c>
      <c r="X532" s="933">
        <v>315000</v>
      </c>
      <c r="Y532" s="868"/>
      <c r="Z532" s="841">
        <v>1.1299999999999999E-2</v>
      </c>
      <c r="AA532" s="866">
        <f>+R532+T532+U532+V532+X532</f>
        <v>206129208</v>
      </c>
      <c r="AB532" s="841">
        <f t="shared" si="64"/>
        <v>0.9242732500092854</v>
      </c>
      <c r="AC532" s="841">
        <f t="shared" si="65"/>
        <v>4.7204188549543155E-2</v>
      </c>
      <c r="AD532" s="841">
        <f t="shared" si="66"/>
        <v>1.5618467792656658E-2</v>
      </c>
      <c r="AE532" s="841">
        <f t="shared" si="67"/>
        <v>7.9766140427857824E-4</v>
      </c>
      <c r="AF532" s="941">
        <f>+(AA532/J532)+Z532</f>
        <v>2.819810647716977E-2</v>
      </c>
    </row>
    <row r="533" spans="1:32">
      <c r="A533" s="103" t="s">
        <v>1123</v>
      </c>
      <c r="B533" s="40" t="s">
        <v>1124</v>
      </c>
      <c r="C533" s="40" t="s">
        <v>1401</v>
      </c>
      <c r="D533" s="943"/>
      <c r="E533" s="943"/>
      <c r="F533" s="943"/>
      <c r="G533" s="943"/>
      <c r="H533" s="943"/>
      <c r="I533" s="943"/>
      <c r="J533" s="867"/>
      <c r="K533" s="944"/>
      <c r="L533" s="944"/>
      <c r="M533" s="944"/>
      <c r="N533" s="944"/>
      <c r="O533" s="945"/>
      <c r="P533" s="944"/>
      <c r="Q533" s="866"/>
      <c r="R533" s="867"/>
      <c r="S533" s="868"/>
      <c r="T533" s="867"/>
      <c r="U533" s="867"/>
      <c r="V533" s="41">
        <v>0</v>
      </c>
      <c r="W533" s="672">
        <v>0</v>
      </c>
      <c r="X533" s="933"/>
      <c r="Y533" s="868"/>
      <c r="Z533" s="841"/>
      <c r="AA533" s="866"/>
      <c r="AB533" s="841" t="e">
        <f t="shared" si="64"/>
        <v>#DIV/0!</v>
      </c>
      <c r="AC533" s="841" t="e">
        <f t="shared" si="65"/>
        <v>#DIV/0!</v>
      </c>
      <c r="AD533" s="841" t="e">
        <f t="shared" si="66"/>
        <v>#DIV/0!</v>
      </c>
      <c r="AE533" s="841" t="e">
        <f t="shared" si="67"/>
        <v>#DIV/0!</v>
      </c>
      <c r="AF533" s="941"/>
    </row>
    <row r="534" spans="1:32">
      <c r="A534" s="103" t="s">
        <v>1125</v>
      </c>
      <c r="B534" s="40" t="s">
        <v>1126</v>
      </c>
      <c r="C534" s="40" t="s">
        <v>1401</v>
      </c>
      <c r="D534" s="943" t="s">
        <v>43</v>
      </c>
      <c r="E534" s="943" t="s">
        <v>44</v>
      </c>
      <c r="F534" s="943" t="s">
        <v>55</v>
      </c>
      <c r="G534" s="943" t="s">
        <v>97</v>
      </c>
      <c r="H534" s="943" t="s">
        <v>62</v>
      </c>
      <c r="I534" s="943" t="s">
        <v>69</v>
      </c>
      <c r="J534" s="932">
        <v>484630.03900398425</v>
      </c>
      <c r="K534" s="944" t="s">
        <v>1112</v>
      </c>
      <c r="L534" s="944"/>
      <c r="M534" s="944"/>
      <c r="N534" s="944" t="s">
        <v>1113</v>
      </c>
      <c r="O534" s="945">
        <v>2.5000000000000001E-4</v>
      </c>
      <c r="P534" s="944"/>
      <c r="Q534" s="940">
        <v>4272.33</v>
      </c>
      <c r="R534" s="932">
        <v>2114.04</v>
      </c>
      <c r="S534" s="930"/>
      <c r="T534" s="932">
        <v>67.06</v>
      </c>
      <c r="U534" s="932">
        <v>387.42</v>
      </c>
      <c r="V534" s="41">
        <v>1519.9699999999998</v>
      </c>
      <c r="W534" s="672">
        <v>116.78</v>
      </c>
      <c r="X534" s="931">
        <v>67.06</v>
      </c>
      <c r="Y534" s="930"/>
      <c r="Z534" s="843">
        <v>6.0000000000000001E-3</v>
      </c>
      <c r="AA534" s="940">
        <f>+R534+T534+U534+V534+X534</f>
        <v>4155.55</v>
      </c>
      <c r="AB534" s="843">
        <f t="shared" si="64"/>
        <v>0.50872688332471028</v>
      </c>
      <c r="AC534" s="843">
        <f t="shared" si="65"/>
        <v>9.3229536403123536E-2</v>
      </c>
      <c r="AD534" s="843">
        <f t="shared" si="66"/>
        <v>4.3621728532238589E-3</v>
      </c>
      <c r="AE534" s="843">
        <f t="shared" si="67"/>
        <v>7.994139215889896E-4</v>
      </c>
      <c r="AF534" s="942">
        <f>+(AA534/J534)+Z534</f>
        <v>1.4574685152700237E-2</v>
      </c>
    </row>
    <row r="535" spans="1:32">
      <c r="A535" s="103" t="s">
        <v>1127</v>
      </c>
      <c r="B535" s="40" t="s">
        <v>1128</v>
      </c>
      <c r="C535" s="40" t="s">
        <v>1401</v>
      </c>
      <c r="D535" s="943"/>
      <c r="E535" s="943"/>
      <c r="F535" s="943"/>
      <c r="G535" s="943" t="s">
        <v>61</v>
      </c>
      <c r="H535" s="943"/>
      <c r="I535" s="943"/>
      <c r="J535" s="932"/>
      <c r="K535" s="944"/>
      <c r="L535" s="944"/>
      <c r="M535" s="944"/>
      <c r="N535" s="944"/>
      <c r="O535" s="945"/>
      <c r="P535" s="944"/>
      <c r="Q535" s="940"/>
      <c r="R535" s="932"/>
      <c r="S535" s="930"/>
      <c r="T535" s="932"/>
      <c r="U535" s="932"/>
      <c r="V535" s="41">
        <v>0</v>
      </c>
      <c r="W535" s="672">
        <v>0</v>
      </c>
      <c r="X535" s="931"/>
      <c r="Y535" s="930"/>
      <c r="Z535" s="843"/>
      <c r="AA535" s="940"/>
      <c r="AB535" s="843" t="e">
        <f t="shared" si="64"/>
        <v>#DIV/0!</v>
      </c>
      <c r="AC535" s="843" t="e">
        <f t="shared" si="65"/>
        <v>#DIV/0!</v>
      </c>
      <c r="AD535" s="843" t="e">
        <f t="shared" si="66"/>
        <v>#DIV/0!</v>
      </c>
      <c r="AE535" s="843" t="e">
        <f t="shared" si="67"/>
        <v>#DIV/0!</v>
      </c>
      <c r="AF535" s="942"/>
    </row>
    <row r="536" spans="1:32">
      <c r="A536" s="103" t="s">
        <v>1129</v>
      </c>
      <c r="B536" s="40" t="s">
        <v>1130</v>
      </c>
      <c r="C536" s="40" t="s">
        <v>1401</v>
      </c>
      <c r="D536" s="943" t="s">
        <v>43</v>
      </c>
      <c r="E536" s="943" t="s">
        <v>44</v>
      </c>
      <c r="F536" s="943" t="s">
        <v>1348</v>
      </c>
      <c r="G536" s="943" t="s">
        <v>58</v>
      </c>
      <c r="H536" s="943" t="s">
        <v>45</v>
      </c>
      <c r="I536" s="943" t="s">
        <v>46</v>
      </c>
      <c r="J536" s="867">
        <v>1892477002.2788844</v>
      </c>
      <c r="K536" s="944" t="s">
        <v>1066</v>
      </c>
      <c r="L536" s="944"/>
      <c r="M536" s="944"/>
      <c r="N536" s="944" t="s">
        <v>1131</v>
      </c>
      <c r="O536" s="945">
        <v>2.5000000000000001E-4</v>
      </c>
      <c r="P536" s="946" t="s">
        <v>1069</v>
      </c>
      <c r="Q536" s="866">
        <v>45177548</v>
      </c>
      <c r="R536" s="867">
        <v>37240285</v>
      </c>
      <c r="S536" s="868"/>
      <c r="T536" s="867"/>
      <c r="U536" s="867">
        <v>3437557</v>
      </c>
      <c r="V536" s="41">
        <v>3325631</v>
      </c>
      <c r="W536" s="672">
        <v>1174075</v>
      </c>
      <c r="X536" s="867"/>
      <c r="Y536" s="868"/>
      <c r="Z536" s="842"/>
      <c r="AA536" s="866">
        <f>+R536+T536+U536+V536+X536</f>
        <v>44003473</v>
      </c>
      <c r="AB536" s="842">
        <f t="shared" si="64"/>
        <v>0.84630331337710551</v>
      </c>
      <c r="AC536" s="842">
        <f t="shared" si="65"/>
        <v>7.8120129290703944E-2</v>
      </c>
      <c r="AD536" s="842">
        <f t="shared" si="66"/>
        <v>1.9678064755955273E-2</v>
      </c>
      <c r="AE536" s="842">
        <f t="shared" si="67"/>
        <v>1.8164326413798212E-3</v>
      </c>
      <c r="AF536" s="941">
        <f>+(AA536/J536)+Z536</f>
        <v>2.3251787444186569E-2</v>
      </c>
    </row>
    <row r="537" spans="1:32">
      <c r="A537" s="103" t="s">
        <v>1132</v>
      </c>
      <c r="B537" s="40" t="s">
        <v>1133</v>
      </c>
      <c r="C537" s="40" t="s">
        <v>1401</v>
      </c>
      <c r="D537" s="943"/>
      <c r="E537" s="943"/>
      <c r="F537" s="943"/>
      <c r="G537" s="943"/>
      <c r="H537" s="943"/>
      <c r="I537" s="943"/>
      <c r="J537" s="867"/>
      <c r="K537" s="944"/>
      <c r="L537" s="944"/>
      <c r="M537" s="944"/>
      <c r="N537" s="944"/>
      <c r="O537" s="945"/>
      <c r="P537" s="946"/>
      <c r="Q537" s="866"/>
      <c r="R537" s="867"/>
      <c r="S537" s="868"/>
      <c r="T537" s="867"/>
      <c r="U537" s="867"/>
      <c r="V537" s="41">
        <v>0</v>
      </c>
      <c r="W537" s="672">
        <v>0</v>
      </c>
      <c r="X537" s="867"/>
      <c r="Y537" s="868"/>
      <c r="Z537" s="842"/>
      <c r="AA537" s="866"/>
      <c r="AB537" s="842" t="e">
        <f t="shared" si="64"/>
        <v>#DIV/0!</v>
      </c>
      <c r="AC537" s="842" t="e">
        <f t="shared" si="65"/>
        <v>#DIV/0!</v>
      </c>
      <c r="AD537" s="842" t="e">
        <f t="shared" si="66"/>
        <v>#DIV/0!</v>
      </c>
      <c r="AE537" s="842" t="e">
        <f t="shared" si="67"/>
        <v>#DIV/0!</v>
      </c>
      <c r="AF537" s="941"/>
    </row>
    <row r="538" spans="1:32">
      <c r="A538" s="103" t="s">
        <v>1134</v>
      </c>
      <c r="B538" s="40" t="s">
        <v>1135</v>
      </c>
      <c r="C538" s="40" t="s">
        <v>1401</v>
      </c>
      <c r="D538" s="40" t="s">
        <v>43</v>
      </c>
      <c r="E538" s="40" t="s">
        <v>44</v>
      </c>
      <c r="F538" s="40" t="s">
        <v>1348</v>
      </c>
      <c r="G538" s="40" t="s">
        <v>641</v>
      </c>
      <c r="H538" s="40" t="s">
        <v>62</v>
      </c>
      <c r="I538" s="40" t="s">
        <v>69</v>
      </c>
      <c r="J538" s="41">
        <v>24602696.212071735</v>
      </c>
      <c r="K538" s="444" t="s">
        <v>1136</v>
      </c>
      <c r="L538" s="444"/>
      <c r="M538" s="444"/>
      <c r="N538" s="444" t="s">
        <v>1082</v>
      </c>
      <c r="O538" s="454">
        <v>2.5000000000000001E-4</v>
      </c>
      <c r="P538" s="444"/>
      <c r="Q538" s="434">
        <v>192448.08</v>
      </c>
      <c r="R538" s="41">
        <v>160642.20000000001</v>
      </c>
      <c r="S538" s="672"/>
      <c r="T538" s="41"/>
      <c r="U538" s="41">
        <v>14877.27</v>
      </c>
      <c r="V538" s="41">
        <v>15591.94</v>
      </c>
      <c r="W538" s="672">
        <v>1336.67</v>
      </c>
      <c r="X538" s="41"/>
      <c r="Y538" s="672"/>
      <c r="Z538" s="734"/>
      <c r="AA538" s="434">
        <f t="shared" ref="AA538:AA551" si="68">+R538+T538+U538+V538+X538</f>
        <v>191111.41</v>
      </c>
      <c r="AB538" s="42">
        <f t="shared" si="64"/>
        <v>0.84056833655300855</v>
      </c>
      <c r="AC538" s="42">
        <f t="shared" si="65"/>
        <v>7.7846058484943415E-2</v>
      </c>
      <c r="AD538" s="42">
        <f t="shared" si="66"/>
        <v>6.5294550896083563E-3</v>
      </c>
      <c r="AE538" s="42">
        <f t="shared" si="67"/>
        <v>6.0470079668342258E-4</v>
      </c>
      <c r="AF538" s="721">
        <f t="shared" ref="AF538:AF551" si="69">+(AA538/J538)+Z538</f>
        <v>7.767905125220703E-3</v>
      </c>
    </row>
    <row r="539" spans="1:32" ht="51">
      <c r="A539" s="103" t="s">
        <v>1137</v>
      </c>
      <c r="B539" s="40" t="s">
        <v>1138</v>
      </c>
      <c r="C539" s="40" t="s">
        <v>1401</v>
      </c>
      <c r="D539" s="40" t="s">
        <v>43</v>
      </c>
      <c r="E539" s="40" t="s">
        <v>621</v>
      </c>
      <c r="F539" s="40" t="s">
        <v>884</v>
      </c>
      <c r="G539" s="40" t="s">
        <v>622</v>
      </c>
      <c r="H539" s="40" t="s">
        <v>62</v>
      </c>
      <c r="I539" s="40" t="s">
        <v>46</v>
      </c>
      <c r="J539" s="606">
        <v>876041489.27091634</v>
      </c>
      <c r="K539" s="444" t="s">
        <v>1139</v>
      </c>
      <c r="L539" s="444"/>
      <c r="M539" s="444"/>
      <c r="N539" s="444">
        <v>0</v>
      </c>
      <c r="O539" s="444" t="s">
        <v>1140</v>
      </c>
      <c r="P539" s="444"/>
      <c r="Q539" s="607">
        <v>15014722</v>
      </c>
      <c r="R539" s="606">
        <v>15014722</v>
      </c>
      <c r="S539" s="676"/>
      <c r="T539" s="606"/>
      <c r="U539" s="606"/>
      <c r="V539" s="41">
        <v>0</v>
      </c>
      <c r="W539" s="672">
        <v>0</v>
      </c>
      <c r="X539" s="606"/>
      <c r="Y539" s="676"/>
      <c r="Z539" s="731"/>
      <c r="AA539" s="607">
        <f t="shared" si="68"/>
        <v>15014722</v>
      </c>
      <c r="AB539" s="608">
        <f t="shared" si="64"/>
        <v>1</v>
      </c>
      <c r="AC539" s="608">
        <f t="shared" si="65"/>
        <v>0</v>
      </c>
      <c r="AD539" s="608">
        <f t="shared" si="66"/>
        <v>1.7139281853529528E-2</v>
      </c>
      <c r="AE539" s="608">
        <f t="shared" si="67"/>
        <v>0</v>
      </c>
      <c r="AF539" s="726">
        <f t="shared" si="69"/>
        <v>1.7139281853529528E-2</v>
      </c>
    </row>
    <row r="540" spans="1:32" ht="51">
      <c r="A540" s="103" t="s">
        <v>1141</v>
      </c>
      <c r="B540" s="40" t="s">
        <v>1142</v>
      </c>
      <c r="C540" s="40" t="s">
        <v>1401</v>
      </c>
      <c r="D540" s="40" t="s">
        <v>43</v>
      </c>
      <c r="E540" s="40" t="s">
        <v>621</v>
      </c>
      <c r="F540" s="40" t="s">
        <v>884</v>
      </c>
      <c r="G540" s="40" t="s">
        <v>622</v>
      </c>
      <c r="H540" s="40" t="s">
        <v>62</v>
      </c>
      <c r="I540" s="40" t="s">
        <v>46</v>
      </c>
      <c r="J540" s="606">
        <v>1792147845.6533864</v>
      </c>
      <c r="K540" s="444" t="s">
        <v>1143</v>
      </c>
      <c r="L540" s="444"/>
      <c r="M540" s="444"/>
      <c r="N540" s="444">
        <v>0</v>
      </c>
      <c r="O540" s="444" t="s">
        <v>1140</v>
      </c>
      <c r="P540" s="444"/>
      <c r="Q540" s="607">
        <v>33272474</v>
      </c>
      <c r="R540" s="606">
        <v>33272474</v>
      </c>
      <c r="S540" s="676"/>
      <c r="T540" s="606"/>
      <c r="U540" s="606"/>
      <c r="V540" s="41">
        <v>0</v>
      </c>
      <c r="W540" s="672">
        <v>0</v>
      </c>
      <c r="X540" s="606"/>
      <c r="Y540" s="676"/>
      <c r="Z540" s="731"/>
      <c r="AA540" s="607">
        <f t="shared" si="68"/>
        <v>33272474</v>
      </c>
      <c r="AB540" s="608">
        <f t="shared" si="64"/>
        <v>1</v>
      </c>
      <c r="AC540" s="608">
        <f t="shared" si="65"/>
        <v>0</v>
      </c>
      <c r="AD540" s="608">
        <f t="shared" si="66"/>
        <v>1.8565697066064004E-2</v>
      </c>
      <c r="AE540" s="608">
        <f t="shared" si="67"/>
        <v>0</v>
      </c>
      <c r="AF540" s="726">
        <f t="shared" si="69"/>
        <v>1.8565697066064004E-2</v>
      </c>
    </row>
    <row r="541" spans="1:32" ht="51">
      <c r="A541" s="103" t="s">
        <v>1144</v>
      </c>
      <c r="B541" s="40" t="s">
        <v>1145</v>
      </c>
      <c r="C541" s="40" t="s">
        <v>1401</v>
      </c>
      <c r="D541" s="40" t="s">
        <v>43</v>
      </c>
      <c r="E541" s="40" t="s">
        <v>621</v>
      </c>
      <c r="F541" s="40" t="s">
        <v>1348</v>
      </c>
      <c r="G541" s="40" t="s">
        <v>48</v>
      </c>
      <c r="H541" s="40" t="s">
        <v>45</v>
      </c>
      <c r="I541" s="40" t="s">
        <v>46</v>
      </c>
      <c r="J541" s="606">
        <v>1040877096.6494024</v>
      </c>
      <c r="K541" s="444" t="s">
        <v>1136</v>
      </c>
      <c r="L541" s="444"/>
      <c r="M541" s="444"/>
      <c r="N541" s="444">
        <v>0</v>
      </c>
      <c r="O541" s="444" t="s">
        <v>1146</v>
      </c>
      <c r="P541" s="444"/>
      <c r="Q541" s="607">
        <v>4196894</v>
      </c>
      <c r="R541" s="606">
        <v>4196894</v>
      </c>
      <c r="S541" s="676"/>
      <c r="T541" s="606"/>
      <c r="U541" s="606"/>
      <c r="V541" s="41">
        <v>0</v>
      </c>
      <c r="W541" s="672">
        <v>0</v>
      </c>
      <c r="X541" s="606"/>
      <c r="Y541" s="676"/>
      <c r="Z541" s="731"/>
      <c r="AA541" s="607">
        <f t="shared" si="68"/>
        <v>4196894</v>
      </c>
      <c r="AB541" s="608">
        <f t="shared" si="64"/>
        <v>1</v>
      </c>
      <c r="AC541" s="608">
        <f t="shared" si="65"/>
        <v>0</v>
      </c>
      <c r="AD541" s="608">
        <f t="shared" si="66"/>
        <v>4.0320745009279763E-3</v>
      </c>
      <c r="AE541" s="608">
        <f t="shared" si="67"/>
        <v>0</v>
      </c>
      <c r="AF541" s="726">
        <f t="shared" si="69"/>
        <v>4.0320745009279763E-3</v>
      </c>
    </row>
    <row r="542" spans="1:32" ht="51">
      <c r="A542" s="103" t="s">
        <v>1147</v>
      </c>
      <c r="B542" s="40" t="s">
        <v>1148</v>
      </c>
      <c r="C542" s="40" t="s">
        <v>1401</v>
      </c>
      <c r="D542" s="40" t="s">
        <v>43</v>
      </c>
      <c r="E542" s="40" t="s">
        <v>621</v>
      </c>
      <c r="F542" s="40" t="s">
        <v>55</v>
      </c>
      <c r="G542" s="40" t="s">
        <v>622</v>
      </c>
      <c r="H542" s="40" t="s">
        <v>62</v>
      </c>
      <c r="I542" s="40" t="s">
        <v>46</v>
      </c>
      <c r="J542" s="606">
        <v>1233619844.629482</v>
      </c>
      <c r="K542" s="444" t="s">
        <v>1149</v>
      </c>
      <c r="L542" s="444"/>
      <c r="M542" s="444"/>
      <c r="N542" s="444">
        <v>0</v>
      </c>
      <c r="O542" s="444" t="s">
        <v>1140</v>
      </c>
      <c r="P542" s="444"/>
      <c r="Q542" s="607">
        <v>22399699</v>
      </c>
      <c r="R542" s="606">
        <v>22399699</v>
      </c>
      <c r="S542" s="676"/>
      <c r="T542" s="606"/>
      <c r="U542" s="606"/>
      <c r="V542" s="41">
        <v>0</v>
      </c>
      <c r="W542" s="672">
        <v>0</v>
      </c>
      <c r="X542" s="609"/>
      <c r="Y542" s="676"/>
      <c r="Z542" s="730">
        <v>3.2000000000000002E-3</v>
      </c>
      <c r="AA542" s="607">
        <f t="shared" si="68"/>
        <v>22399699</v>
      </c>
      <c r="AB542" s="610">
        <f t="shared" si="64"/>
        <v>1</v>
      </c>
      <c r="AC542" s="610">
        <f t="shared" si="65"/>
        <v>0</v>
      </c>
      <c r="AD542" s="610">
        <f t="shared" si="66"/>
        <v>1.8157699957175831E-2</v>
      </c>
      <c r="AE542" s="610">
        <f t="shared" si="67"/>
        <v>0</v>
      </c>
      <c r="AF542" s="726">
        <f t="shared" si="69"/>
        <v>2.1357699957175832E-2</v>
      </c>
    </row>
    <row r="543" spans="1:32" ht="63.75">
      <c r="A543" s="451" t="s">
        <v>1150</v>
      </c>
      <c r="B543" s="51" t="s">
        <v>1151</v>
      </c>
      <c r="C543" s="51" t="s">
        <v>1402</v>
      </c>
      <c r="D543" s="51" t="s">
        <v>43</v>
      </c>
      <c r="E543" s="51" t="s">
        <v>44</v>
      </c>
      <c r="F543" s="51" t="s">
        <v>132</v>
      </c>
      <c r="G543" s="51" t="s">
        <v>56</v>
      </c>
      <c r="H543" s="51" t="s">
        <v>45</v>
      </c>
      <c r="I543" s="51" t="s">
        <v>46</v>
      </c>
      <c r="J543" s="669">
        <v>121442848</v>
      </c>
      <c r="K543" s="444" t="s">
        <v>1153</v>
      </c>
      <c r="L543" s="444"/>
      <c r="M543" s="444"/>
      <c r="N543" s="444" t="s">
        <v>1154</v>
      </c>
      <c r="O543" s="444" t="s">
        <v>1155</v>
      </c>
      <c r="P543" s="444"/>
      <c r="Q543" s="646">
        <v>4117452</v>
      </c>
      <c r="R543" s="645">
        <v>0</v>
      </c>
      <c r="S543" s="675"/>
      <c r="T543" s="645"/>
      <c r="U543" s="645">
        <v>242846</v>
      </c>
      <c r="V543" s="41">
        <v>3680943</v>
      </c>
      <c r="W543" s="672">
        <v>193663</v>
      </c>
      <c r="X543" s="598"/>
      <c r="Y543" s="675"/>
      <c r="Z543" s="670"/>
      <c r="AA543" s="646">
        <f t="shared" si="68"/>
        <v>3923789</v>
      </c>
      <c r="AB543" s="444">
        <f t="shared" si="64"/>
        <v>0</v>
      </c>
      <c r="AC543" s="444">
        <f t="shared" si="65"/>
        <v>6.1890687802019936E-2</v>
      </c>
      <c r="AD543" s="444">
        <f t="shared" si="66"/>
        <v>0</v>
      </c>
      <c r="AE543" s="444">
        <f t="shared" si="67"/>
        <v>1.9996731301953658E-3</v>
      </c>
      <c r="AF543" s="727">
        <f t="shared" si="69"/>
        <v>3.230975775535172E-2</v>
      </c>
    </row>
    <row r="544" spans="1:32" ht="51">
      <c r="A544" s="451" t="s">
        <v>1156</v>
      </c>
      <c r="B544" s="51" t="s">
        <v>1157</v>
      </c>
      <c r="C544" s="51" t="s">
        <v>1402</v>
      </c>
      <c r="D544" s="51" t="s">
        <v>43</v>
      </c>
      <c r="E544" s="51" t="s">
        <v>44</v>
      </c>
      <c r="F544" s="51" t="s">
        <v>1348</v>
      </c>
      <c r="G544" s="51" t="s">
        <v>884</v>
      </c>
      <c r="H544" s="51" t="s">
        <v>62</v>
      </c>
      <c r="I544" s="51" t="s">
        <v>46</v>
      </c>
      <c r="J544" s="669">
        <v>355542586</v>
      </c>
      <c r="K544" s="444" t="s">
        <v>1158</v>
      </c>
      <c r="L544" s="444" t="s">
        <v>1159</v>
      </c>
      <c r="M544" s="444" t="s">
        <v>108</v>
      </c>
      <c r="N544" s="444" t="s">
        <v>1160</v>
      </c>
      <c r="O544" s="52" t="s">
        <v>1161</v>
      </c>
      <c r="P544" s="444"/>
      <c r="Q544" s="646">
        <v>8956639</v>
      </c>
      <c r="R544" s="645">
        <v>3555396</v>
      </c>
      <c r="S544" s="675">
        <v>4547</v>
      </c>
      <c r="T544" s="645"/>
      <c r="U544" s="645">
        <v>853478</v>
      </c>
      <c r="V544" s="41">
        <v>3861442</v>
      </c>
      <c r="W544" s="672">
        <v>681776</v>
      </c>
      <c r="X544" s="598"/>
      <c r="Y544" s="675"/>
      <c r="Z544" s="670"/>
      <c r="AA544" s="646">
        <f t="shared" si="68"/>
        <v>8270316</v>
      </c>
      <c r="AB544" s="444">
        <f t="shared" si="64"/>
        <v>0.42989844644388436</v>
      </c>
      <c r="AC544" s="444">
        <f t="shared" si="65"/>
        <v>0.10319774963858697</v>
      </c>
      <c r="AD544" s="444">
        <f t="shared" si="66"/>
        <v>9.9999160156865139E-3</v>
      </c>
      <c r="AE544" s="444">
        <f t="shared" si="67"/>
        <v>2.400494437535536E-3</v>
      </c>
      <c r="AF544" s="727">
        <f t="shared" si="69"/>
        <v>2.3261112242683638E-2</v>
      </c>
    </row>
    <row r="545" spans="1:32" ht="51">
      <c r="A545" s="451" t="s">
        <v>1162</v>
      </c>
      <c r="B545" s="51" t="s">
        <v>1163</v>
      </c>
      <c r="C545" s="51" t="s">
        <v>1402</v>
      </c>
      <c r="D545" s="51" t="s">
        <v>43</v>
      </c>
      <c r="E545" s="51" t="s">
        <v>44</v>
      </c>
      <c r="F545" s="51" t="s">
        <v>1348</v>
      </c>
      <c r="G545" s="51" t="s">
        <v>884</v>
      </c>
      <c r="H545" s="51" t="s">
        <v>62</v>
      </c>
      <c r="I545" s="51" t="s">
        <v>46</v>
      </c>
      <c r="J545" s="669">
        <v>185872832</v>
      </c>
      <c r="K545" s="444" t="s">
        <v>1164</v>
      </c>
      <c r="L545" s="444" t="s">
        <v>1159</v>
      </c>
      <c r="M545" s="444" t="s">
        <v>108</v>
      </c>
      <c r="N545" s="444" t="s">
        <v>1160</v>
      </c>
      <c r="O545" s="444" t="s">
        <v>1161</v>
      </c>
      <c r="P545" s="444"/>
      <c r="Q545" s="646">
        <v>4480585</v>
      </c>
      <c r="R545" s="645">
        <v>1858834</v>
      </c>
      <c r="S545" s="675"/>
      <c r="T545" s="645"/>
      <c r="U545" s="645">
        <v>380271</v>
      </c>
      <c r="V545" s="41">
        <v>1996588</v>
      </c>
      <c r="W545" s="672">
        <v>244892</v>
      </c>
      <c r="X545" s="598"/>
      <c r="Y545" s="675"/>
      <c r="Z545" s="670"/>
      <c r="AA545" s="646">
        <f t="shared" si="68"/>
        <v>4235693</v>
      </c>
      <c r="AB545" s="444">
        <f t="shared" si="64"/>
        <v>0.43885002997148281</v>
      </c>
      <c r="AC545" s="444">
        <f t="shared" si="65"/>
        <v>8.9777753014677886E-2</v>
      </c>
      <c r="AD545" s="444">
        <f t="shared" si="66"/>
        <v>1.0000568560767396E-2</v>
      </c>
      <c r="AE545" s="444">
        <f t="shared" si="67"/>
        <v>2.0458664986607619E-3</v>
      </c>
      <c r="AF545" s="727">
        <f t="shared" si="69"/>
        <v>2.2788123226099015E-2</v>
      </c>
    </row>
    <row r="546" spans="1:32" ht="25.5">
      <c r="A546" s="103" t="s">
        <v>1165</v>
      </c>
      <c r="B546" s="40" t="s">
        <v>1166</v>
      </c>
      <c r="C546" s="40" t="s">
        <v>1403</v>
      </c>
      <c r="D546" s="40" t="s">
        <v>43</v>
      </c>
      <c r="E546" s="40" t="s">
        <v>44</v>
      </c>
      <c r="F546" s="40" t="s">
        <v>1348</v>
      </c>
      <c r="G546" s="40" t="s">
        <v>48</v>
      </c>
      <c r="H546" s="40" t="s">
        <v>45</v>
      </c>
      <c r="I546" s="40" t="s">
        <v>46</v>
      </c>
      <c r="J546" s="455">
        <v>3214451387.3346772</v>
      </c>
      <c r="K546" s="611" t="s">
        <v>1169</v>
      </c>
      <c r="L546" s="612"/>
      <c r="M546" s="52"/>
      <c r="N546" s="453">
        <v>1E-3</v>
      </c>
      <c r="O546" s="454">
        <v>2.5000000000000001E-4</v>
      </c>
      <c r="P546" s="52"/>
      <c r="Q546" s="434">
        <v>38321243</v>
      </c>
      <c r="R546" s="41">
        <v>20170726</v>
      </c>
      <c r="S546" s="672"/>
      <c r="T546" s="41">
        <v>11748613</v>
      </c>
      <c r="U546" s="41">
        <v>3205427</v>
      </c>
      <c r="V546" s="41">
        <v>3194077</v>
      </c>
      <c r="W546" s="672">
        <v>2400</v>
      </c>
      <c r="X546" s="41"/>
      <c r="Y546" s="672"/>
      <c r="Z546" s="456"/>
      <c r="AA546" s="434">
        <f t="shared" si="68"/>
        <v>38318843</v>
      </c>
      <c r="AB546" s="456">
        <f t="shared" si="64"/>
        <v>0.526391832864056</v>
      </c>
      <c r="AC546" s="456">
        <f t="shared" si="65"/>
        <v>8.3651455760290053E-2</v>
      </c>
      <c r="AD546" s="456">
        <f t="shared" si="66"/>
        <v>6.2750135464717466E-3</v>
      </c>
      <c r="AE546" s="456">
        <f t="shared" si="67"/>
        <v>9.9719255753245037E-4</v>
      </c>
      <c r="AF546" s="720">
        <f t="shared" si="69"/>
        <v>1.1920803391515213E-2</v>
      </c>
    </row>
    <row r="547" spans="1:32" ht="25.5">
      <c r="A547" s="103" t="s">
        <v>1171</v>
      </c>
      <c r="B547" s="40" t="s">
        <v>1172</v>
      </c>
      <c r="C547" s="40" t="s">
        <v>1403</v>
      </c>
      <c r="D547" s="40" t="s">
        <v>43</v>
      </c>
      <c r="E547" s="40" t="s">
        <v>44</v>
      </c>
      <c r="F547" s="40" t="s">
        <v>1348</v>
      </c>
      <c r="G547" s="40" t="s">
        <v>58</v>
      </c>
      <c r="H547" s="40" t="s">
        <v>62</v>
      </c>
      <c r="I547" s="40" t="s">
        <v>46</v>
      </c>
      <c r="J547" s="455">
        <v>45066387.306451611</v>
      </c>
      <c r="K547" s="612" t="s">
        <v>1173</v>
      </c>
      <c r="L547" s="612">
        <v>0.2</v>
      </c>
      <c r="M547" s="52" t="s">
        <v>108</v>
      </c>
      <c r="N547" s="453">
        <v>1E-3</v>
      </c>
      <c r="O547" s="454">
        <v>2.5000000000000001E-4</v>
      </c>
      <c r="P547" s="52"/>
      <c r="Q547" s="434">
        <v>1698234</v>
      </c>
      <c r="R547" s="41">
        <v>0</v>
      </c>
      <c r="S547" s="672"/>
      <c r="T547" s="41"/>
      <c r="U547" s="41">
        <v>45407</v>
      </c>
      <c r="V547" s="41">
        <v>1640810</v>
      </c>
      <c r="W547" s="672">
        <v>12017</v>
      </c>
      <c r="X547" s="41"/>
      <c r="Y547" s="672"/>
      <c r="Z547" s="456"/>
      <c r="AA547" s="434">
        <f t="shared" si="68"/>
        <v>1686217</v>
      </c>
      <c r="AB547" s="456">
        <f t="shared" si="64"/>
        <v>0</v>
      </c>
      <c r="AC547" s="456">
        <f t="shared" si="65"/>
        <v>2.6928325357886914E-2</v>
      </c>
      <c r="AD547" s="456">
        <f t="shared" si="66"/>
        <v>0</v>
      </c>
      <c r="AE547" s="456">
        <f t="shared" si="67"/>
        <v>1.0075580208200898E-3</v>
      </c>
      <c r="AF547" s="720">
        <f t="shared" si="69"/>
        <v>3.7416289629202307E-2</v>
      </c>
    </row>
    <row r="548" spans="1:32" ht="25.5">
      <c r="A548" s="103" t="s">
        <v>1174</v>
      </c>
      <c r="B548" s="40" t="s">
        <v>1175</v>
      </c>
      <c r="C548" s="40" t="s">
        <v>1403</v>
      </c>
      <c r="D548" s="40" t="s">
        <v>43</v>
      </c>
      <c r="E548" s="40" t="s">
        <v>44</v>
      </c>
      <c r="F548" s="40" t="s">
        <v>1348</v>
      </c>
      <c r="G548" s="40" t="s">
        <v>641</v>
      </c>
      <c r="H548" s="40" t="s">
        <v>45</v>
      </c>
      <c r="I548" s="40" t="s">
        <v>46</v>
      </c>
      <c r="J548" s="455">
        <v>34923280390.831322</v>
      </c>
      <c r="K548" s="612" t="s">
        <v>1176</v>
      </c>
      <c r="L548" s="612"/>
      <c r="M548" s="52"/>
      <c r="N548" s="453">
        <v>1E-3</v>
      </c>
      <c r="O548" s="454">
        <v>2.5000000000000001E-4</v>
      </c>
      <c r="P548" s="52"/>
      <c r="Q548" s="434">
        <v>291560630</v>
      </c>
      <c r="R548" s="41">
        <v>148405954</v>
      </c>
      <c r="S548" s="672"/>
      <c r="T548" s="41">
        <v>95983092</v>
      </c>
      <c r="U548" s="41">
        <v>35184704</v>
      </c>
      <c r="V548" s="41">
        <v>11729280</v>
      </c>
      <c r="W548" s="672">
        <v>257600</v>
      </c>
      <c r="X548" s="41"/>
      <c r="Y548" s="672"/>
      <c r="Z548" s="456"/>
      <c r="AA548" s="434">
        <f t="shared" si="68"/>
        <v>291303030</v>
      </c>
      <c r="AB548" s="456">
        <f t="shared" si="64"/>
        <v>0.50945557964158494</v>
      </c>
      <c r="AC548" s="456">
        <f t="shared" si="65"/>
        <v>0.12078385865056056</v>
      </c>
      <c r="AD548" s="456">
        <f t="shared" si="66"/>
        <v>4.2494849378170718E-3</v>
      </c>
      <c r="AE548" s="456">
        <f t="shared" si="67"/>
        <v>1.007485654447207E-3</v>
      </c>
      <c r="AF548" s="720">
        <f t="shared" si="69"/>
        <v>8.3412275920242019E-3</v>
      </c>
    </row>
    <row r="549" spans="1:32" ht="25.5">
      <c r="A549" s="103" t="s">
        <v>1177</v>
      </c>
      <c r="B549" s="40" t="s">
        <v>1178</v>
      </c>
      <c r="C549" s="40" t="s">
        <v>1403</v>
      </c>
      <c r="D549" s="40" t="s">
        <v>43</v>
      </c>
      <c r="E549" s="40" t="s">
        <v>44</v>
      </c>
      <c r="F549" s="40" t="s">
        <v>884</v>
      </c>
      <c r="G549" s="40" t="s">
        <v>97</v>
      </c>
      <c r="H549" s="40" t="s">
        <v>62</v>
      </c>
      <c r="I549" s="40" t="s">
        <v>46</v>
      </c>
      <c r="J549" s="455">
        <v>252167559.6451613</v>
      </c>
      <c r="K549" s="612" t="s">
        <v>1173</v>
      </c>
      <c r="L549" s="612">
        <v>0.18</v>
      </c>
      <c r="M549" s="444" t="s">
        <v>108</v>
      </c>
      <c r="N549" s="453">
        <v>1E-3</v>
      </c>
      <c r="O549" s="454">
        <v>2.5000000000000001E-4</v>
      </c>
      <c r="P549" s="52"/>
      <c r="Q549" s="434">
        <v>7795251</v>
      </c>
      <c r="R549" s="41">
        <v>2101921</v>
      </c>
      <c r="S549" s="672"/>
      <c r="T549" s="41">
        <v>1677900</v>
      </c>
      <c r="U549" s="41">
        <v>254433</v>
      </c>
      <c r="V549" s="41">
        <v>2075197</v>
      </c>
      <c r="W549" s="672">
        <v>1685800</v>
      </c>
      <c r="X549" s="41"/>
      <c r="Y549" s="672"/>
      <c r="Z549" s="456"/>
      <c r="AA549" s="434">
        <f t="shared" si="68"/>
        <v>6109451</v>
      </c>
      <c r="AB549" s="456">
        <f t="shared" si="64"/>
        <v>0.34404417025359563</v>
      </c>
      <c r="AC549" s="456">
        <f t="shared" si="65"/>
        <v>4.1645804181095814E-2</v>
      </c>
      <c r="AD549" s="456">
        <f t="shared" si="66"/>
        <v>8.3354139721926457E-3</v>
      </c>
      <c r="AE549" s="456">
        <f t="shared" si="67"/>
        <v>1.0089838691306151E-3</v>
      </c>
      <c r="AF549" s="720">
        <f t="shared" si="69"/>
        <v>2.4227743682006288E-2</v>
      </c>
    </row>
    <row r="550" spans="1:32" ht="25.5">
      <c r="A550" s="103" t="s">
        <v>1179</v>
      </c>
      <c r="B550" s="40" t="s">
        <v>1180</v>
      </c>
      <c r="C550" s="40" t="s">
        <v>1403</v>
      </c>
      <c r="D550" s="40" t="s">
        <v>43</v>
      </c>
      <c r="E550" s="40" t="s">
        <v>44</v>
      </c>
      <c r="F550" s="40" t="s">
        <v>884</v>
      </c>
      <c r="G550" s="40" t="s">
        <v>622</v>
      </c>
      <c r="H550" s="40" t="s">
        <v>62</v>
      </c>
      <c r="I550" s="40" t="s">
        <v>46</v>
      </c>
      <c r="J550" s="455">
        <v>1171418840.5282259</v>
      </c>
      <c r="K550" s="612" t="s">
        <v>1181</v>
      </c>
      <c r="L550" s="612">
        <v>0.18</v>
      </c>
      <c r="M550" s="444" t="s">
        <v>108</v>
      </c>
      <c r="N550" s="453">
        <v>1E-3</v>
      </c>
      <c r="O550" s="454">
        <v>2.5000000000000001E-4</v>
      </c>
      <c r="P550" s="52"/>
      <c r="Q550" s="434">
        <v>9458696</v>
      </c>
      <c r="R550" s="41">
        <v>3355001</v>
      </c>
      <c r="S550" s="672"/>
      <c r="T550" s="41">
        <v>2510263</v>
      </c>
      <c r="U550" s="41">
        <v>1180302</v>
      </c>
      <c r="V550" s="41">
        <v>2313345</v>
      </c>
      <c r="W550" s="672">
        <v>99785</v>
      </c>
      <c r="X550" s="41"/>
      <c r="Y550" s="672"/>
      <c r="Z550" s="456"/>
      <c r="AA550" s="434">
        <f t="shared" si="68"/>
        <v>9358911</v>
      </c>
      <c r="AB550" s="456">
        <f t="shared" si="64"/>
        <v>0.35848198577804619</v>
      </c>
      <c r="AC550" s="456">
        <f t="shared" si="65"/>
        <v>0.1261153140573727</v>
      </c>
      <c r="AD550" s="456">
        <f t="shared" si="66"/>
        <v>2.8640490351744172E-3</v>
      </c>
      <c r="AE550" s="456">
        <f t="shared" si="67"/>
        <v>1.0075832479079544E-3</v>
      </c>
      <c r="AF550" s="720">
        <f t="shared" si="69"/>
        <v>7.9893806350082291E-3</v>
      </c>
    </row>
    <row r="551" spans="1:32">
      <c r="A551" s="105" t="s">
        <v>1189</v>
      </c>
      <c r="B551" s="450" t="s">
        <v>1190</v>
      </c>
      <c r="C551" s="450" t="s">
        <v>1404</v>
      </c>
      <c r="D551" s="450" t="s">
        <v>43</v>
      </c>
      <c r="E551" s="450" t="s">
        <v>44</v>
      </c>
      <c r="F551" s="450" t="s">
        <v>55</v>
      </c>
      <c r="G551" s="450" t="s">
        <v>97</v>
      </c>
      <c r="H551" s="450" t="s">
        <v>62</v>
      </c>
      <c r="I551" s="450" t="s">
        <v>69</v>
      </c>
      <c r="J551" s="449">
        <v>8578275.4240322504</v>
      </c>
      <c r="K551" s="52" t="s">
        <v>349</v>
      </c>
      <c r="L551" s="52"/>
      <c r="M551" s="52"/>
      <c r="N551" s="52" t="s">
        <v>351</v>
      </c>
      <c r="O551" s="448"/>
      <c r="P551" s="52" t="s">
        <v>353</v>
      </c>
      <c r="Q551" s="434">
        <v>10815.067423461654</v>
      </c>
      <c r="R551" s="449">
        <v>0</v>
      </c>
      <c r="S551" s="672"/>
      <c r="T551" s="449"/>
      <c r="U551" s="449">
        <v>3240.8235111649992</v>
      </c>
      <c r="V551" s="41">
        <v>6502.8729244552214</v>
      </c>
      <c r="W551" s="672">
        <v>1071.3709878414334</v>
      </c>
      <c r="X551" s="449"/>
      <c r="Y551" s="672"/>
      <c r="Z551" s="729">
        <v>8.0999999999999996E-3</v>
      </c>
      <c r="AA551" s="434">
        <f t="shared" si="68"/>
        <v>9743.6964356202207</v>
      </c>
      <c r="AB551" s="448">
        <f t="shared" si="64"/>
        <v>0</v>
      </c>
      <c r="AC551" s="448">
        <f t="shared" si="65"/>
        <v>0.33260719200132893</v>
      </c>
      <c r="AD551" s="448">
        <f t="shared" si="66"/>
        <v>0</v>
      </c>
      <c r="AE551" s="448">
        <f t="shared" si="67"/>
        <v>3.7779429442026918E-4</v>
      </c>
      <c r="AF551" s="721">
        <f t="shared" si="69"/>
        <v>9.2358572619763418E-3</v>
      </c>
    </row>
  </sheetData>
  <autoFilter ref="A2:I551"/>
  <mergeCells count="759">
    <mergeCell ref="Q1:Y1"/>
    <mergeCell ref="K1:P1"/>
    <mergeCell ref="A1:I1"/>
    <mergeCell ref="D474:D476"/>
    <mergeCell ref="E474:E476"/>
    <mergeCell ref="F474:F476"/>
    <mergeCell ref="G474:G476"/>
    <mergeCell ref="H474:H476"/>
    <mergeCell ref="N474:N476"/>
    <mergeCell ref="O474:O476"/>
    <mergeCell ref="Q474:Q476"/>
    <mergeCell ref="R474:R476"/>
    <mergeCell ref="U474:U476"/>
    <mergeCell ref="Y474:Y476"/>
    <mergeCell ref="Q3:Q4"/>
    <mergeCell ref="Q5:Q6"/>
    <mergeCell ref="Q8:Q9"/>
    <mergeCell ref="Q361:Q362"/>
    <mergeCell ref="R361:R362"/>
    <mergeCell ref="R378:R379"/>
    <mergeCell ref="R382:R383"/>
    <mergeCell ref="R396:R397"/>
    <mergeCell ref="R398:R399"/>
    <mergeCell ref="Q378:Q379"/>
    <mergeCell ref="D477:D478"/>
    <mergeCell ref="E477:E478"/>
    <mergeCell ref="F477:F478"/>
    <mergeCell ref="G477:G478"/>
    <mergeCell ref="H477:H478"/>
    <mergeCell ref="N477:N478"/>
    <mergeCell ref="O477:O478"/>
    <mergeCell ref="Q477:Q478"/>
    <mergeCell ref="R477:R478"/>
    <mergeCell ref="D479:D482"/>
    <mergeCell ref="E479:E482"/>
    <mergeCell ref="F479:F482"/>
    <mergeCell ref="G479:G482"/>
    <mergeCell ref="H479:H482"/>
    <mergeCell ref="N479:N482"/>
    <mergeCell ref="O479:O482"/>
    <mergeCell ref="Q479:Q482"/>
    <mergeCell ref="R479:R482"/>
    <mergeCell ref="D483:D486"/>
    <mergeCell ref="E483:E486"/>
    <mergeCell ref="F483:F486"/>
    <mergeCell ref="G483:G486"/>
    <mergeCell ref="H483:H486"/>
    <mergeCell ref="N483:N486"/>
    <mergeCell ref="O483:O486"/>
    <mergeCell ref="Q483:Q486"/>
    <mergeCell ref="R483:R486"/>
    <mergeCell ref="D487:D490"/>
    <mergeCell ref="E487:E490"/>
    <mergeCell ref="F487:F490"/>
    <mergeCell ref="G487:G490"/>
    <mergeCell ref="H487:H490"/>
    <mergeCell ref="N487:N490"/>
    <mergeCell ref="O487:O490"/>
    <mergeCell ref="Q487:Q490"/>
    <mergeCell ref="R487:R490"/>
    <mergeCell ref="D491:D494"/>
    <mergeCell ref="E491:E494"/>
    <mergeCell ref="F491:F494"/>
    <mergeCell ref="G491:G494"/>
    <mergeCell ref="H491:H494"/>
    <mergeCell ref="N491:N494"/>
    <mergeCell ref="O491:O494"/>
    <mergeCell ref="Q491:Q494"/>
    <mergeCell ref="R491:R494"/>
    <mergeCell ref="D495:D498"/>
    <mergeCell ref="E495:E498"/>
    <mergeCell ref="F495:F498"/>
    <mergeCell ref="G495:G498"/>
    <mergeCell ref="H495:H498"/>
    <mergeCell ref="N495:N498"/>
    <mergeCell ref="O495:O498"/>
    <mergeCell ref="Q495:Q498"/>
    <mergeCell ref="R495:R498"/>
    <mergeCell ref="D499:D502"/>
    <mergeCell ref="E499:E502"/>
    <mergeCell ref="F499:F502"/>
    <mergeCell ref="G499:G502"/>
    <mergeCell ref="H499:H502"/>
    <mergeCell ref="N499:N502"/>
    <mergeCell ref="O499:O502"/>
    <mergeCell ref="Q499:Q502"/>
    <mergeCell ref="R499:R502"/>
    <mergeCell ref="E503:E506"/>
    <mergeCell ref="F503:F506"/>
    <mergeCell ref="G503:G506"/>
    <mergeCell ref="H503:H506"/>
    <mergeCell ref="N503:N506"/>
    <mergeCell ref="O503:O506"/>
    <mergeCell ref="Q503:Q506"/>
    <mergeCell ref="R503:R506"/>
    <mergeCell ref="Z495:Z498"/>
    <mergeCell ref="U499:U502"/>
    <mergeCell ref="X495:X498"/>
    <mergeCell ref="Y499:Y502"/>
    <mergeCell ref="Z499:Z502"/>
    <mergeCell ref="U495:U498"/>
    <mergeCell ref="Y495:Y498"/>
    <mergeCell ref="D511:D512"/>
    <mergeCell ref="E511:E512"/>
    <mergeCell ref="F511:F512"/>
    <mergeCell ref="G511:G512"/>
    <mergeCell ref="H511:H512"/>
    <mergeCell ref="I511:I512"/>
    <mergeCell ref="J511:J512"/>
    <mergeCell ref="Z503:Z506"/>
    <mergeCell ref="D507:D510"/>
    <mergeCell ref="E507:E510"/>
    <mergeCell ref="F507:F510"/>
    <mergeCell ref="G507:G510"/>
    <mergeCell ref="H507:H510"/>
    <mergeCell ref="N507:N510"/>
    <mergeCell ref="O507:O510"/>
    <mergeCell ref="Q507:Q510"/>
    <mergeCell ref="R507:R510"/>
    <mergeCell ref="U507:U510"/>
    <mergeCell ref="X503:X506"/>
    <mergeCell ref="Y507:Y510"/>
    <mergeCell ref="Z507:Z510"/>
    <mergeCell ref="U503:U506"/>
    <mergeCell ref="Y503:Y506"/>
    <mergeCell ref="D503:D506"/>
    <mergeCell ref="K511:K512"/>
    <mergeCell ref="X507:X510"/>
    <mergeCell ref="Q511:Q512"/>
    <mergeCell ref="R511:R512"/>
    <mergeCell ref="S511:S512"/>
    <mergeCell ref="T511:T512"/>
    <mergeCell ref="U511:U512"/>
    <mergeCell ref="L511:L512"/>
    <mergeCell ref="M511:M512"/>
    <mergeCell ref="N511:N512"/>
    <mergeCell ref="O511:O512"/>
    <mergeCell ref="P511:P512"/>
    <mergeCell ref="D513:D514"/>
    <mergeCell ref="E513:E514"/>
    <mergeCell ref="F513:F514"/>
    <mergeCell ref="G513:G514"/>
    <mergeCell ref="H513:H514"/>
    <mergeCell ref="I513:I514"/>
    <mergeCell ref="J513:J514"/>
    <mergeCell ref="K513:K514"/>
    <mergeCell ref="L513:L514"/>
    <mergeCell ref="F518:F521"/>
    <mergeCell ref="G518:G521"/>
    <mergeCell ref="H518:H521"/>
    <mergeCell ref="Y513:Y514"/>
    <mergeCell ref="Z513:Z514"/>
    <mergeCell ref="X513:X514"/>
    <mergeCell ref="S513:S514"/>
    <mergeCell ref="T513:T514"/>
    <mergeCell ref="U513:U514"/>
    <mergeCell ref="N513:N514"/>
    <mergeCell ref="O513:O514"/>
    <mergeCell ref="P513:P514"/>
    <mergeCell ref="Q513:Q514"/>
    <mergeCell ref="R513:R514"/>
    <mergeCell ref="M513:M514"/>
    <mergeCell ref="D522:D523"/>
    <mergeCell ref="E522:E523"/>
    <mergeCell ref="F522:F523"/>
    <mergeCell ref="G522:G523"/>
    <mergeCell ref="H522:H523"/>
    <mergeCell ref="I522:I523"/>
    <mergeCell ref="J522:J523"/>
    <mergeCell ref="K522:K523"/>
    <mergeCell ref="X518:X521"/>
    <mergeCell ref="T518:T521"/>
    <mergeCell ref="U518:U521"/>
    <mergeCell ref="O518:O521"/>
    <mergeCell ref="P518:P521"/>
    <mergeCell ref="Q518:Q521"/>
    <mergeCell ref="R518:R521"/>
    <mergeCell ref="S518:S521"/>
    <mergeCell ref="K518:K521"/>
    <mergeCell ref="L518:L521"/>
    <mergeCell ref="M518:M521"/>
    <mergeCell ref="N518:N521"/>
    <mergeCell ref="I518:I521"/>
    <mergeCell ref="J518:J521"/>
    <mergeCell ref="D518:D521"/>
    <mergeCell ref="E518:E521"/>
    <mergeCell ref="Q522:Q523"/>
    <mergeCell ref="R522:R523"/>
    <mergeCell ref="S522:S523"/>
    <mergeCell ref="T522:T523"/>
    <mergeCell ref="U522:U523"/>
    <mergeCell ref="L522:L523"/>
    <mergeCell ref="M522:M523"/>
    <mergeCell ref="N522:N523"/>
    <mergeCell ref="O522:O523"/>
    <mergeCell ref="P522:P523"/>
    <mergeCell ref="D525:D526"/>
    <mergeCell ref="E525:E526"/>
    <mergeCell ref="F525:F526"/>
    <mergeCell ref="G525:G526"/>
    <mergeCell ref="H525:H526"/>
    <mergeCell ref="I525:I526"/>
    <mergeCell ref="J525:J526"/>
    <mergeCell ref="K525:K526"/>
    <mergeCell ref="L525:L526"/>
    <mergeCell ref="F528:F529"/>
    <mergeCell ref="G528:G529"/>
    <mergeCell ref="H528:H529"/>
    <mergeCell ref="Y525:Y526"/>
    <mergeCell ref="Z525:Z526"/>
    <mergeCell ref="X525:X526"/>
    <mergeCell ref="S525:S526"/>
    <mergeCell ref="T525:T526"/>
    <mergeCell ref="U525:U526"/>
    <mergeCell ref="N525:N526"/>
    <mergeCell ref="O525:O526"/>
    <mergeCell ref="P525:P526"/>
    <mergeCell ref="Q525:Q526"/>
    <mergeCell ref="R525:R526"/>
    <mergeCell ref="M525:M526"/>
    <mergeCell ref="D532:D533"/>
    <mergeCell ref="E532:E533"/>
    <mergeCell ref="F532:F533"/>
    <mergeCell ref="G532:G533"/>
    <mergeCell ref="H532:H533"/>
    <mergeCell ref="I532:I533"/>
    <mergeCell ref="J532:J533"/>
    <mergeCell ref="K532:K533"/>
    <mergeCell ref="X528:X529"/>
    <mergeCell ref="T528:T529"/>
    <mergeCell ref="U528:U529"/>
    <mergeCell ref="O528:O529"/>
    <mergeCell ref="P528:P529"/>
    <mergeCell ref="Q528:Q529"/>
    <mergeCell ref="R528:R529"/>
    <mergeCell ref="S528:S529"/>
    <mergeCell ref="K528:K529"/>
    <mergeCell ref="L528:L529"/>
    <mergeCell ref="M528:M529"/>
    <mergeCell ref="N528:N529"/>
    <mergeCell ref="I528:I529"/>
    <mergeCell ref="J528:J529"/>
    <mergeCell ref="D528:D529"/>
    <mergeCell ref="E528:E529"/>
    <mergeCell ref="Q532:Q533"/>
    <mergeCell ref="R532:R533"/>
    <mergeCell ref="S532:S533"/>
    <mergeCell ref="T532:T533"/>
    <mergeCell ref="U532:U533"/>
    <mergeCell ref="L532:L533"/>
    <mergeCell ref="M532:M533"/>
    <mergeCell ref="N532:N533"/>
    <mergeCell ref="O532:O533"/>
    <mergeCell ref="P532:P533"/>
    <mergeCell ref="D534:D535"/>
    <mergeCell ref="E534:E535"/>
    <mergeCell ref="F534:F535"/>
    <mergeCell ref="G534:G535"/>
    <mergeCell ref="H534:H535"/>
    <mergeCell ref="I534:I535"/>
    <mergeCell ref="J534:J535"/>
    <mergeCell ref="K534:K535"/>
    <mergeCell ref="L534:L535"/>
    <mergeCell ref="N534:N535"/>
    <mergeCell ref="O534:O535"/>
    <mergeCell ref="P534:P535"/>
    <mergeCell ref="Q534:Q535"/>
    <mergeCell ref="R534:R535"/>
    <mergeCell ref="K536:K537"/>
    <mergeCell ref="L536:L537"/>
    <mergeCell ref="M536:M537"/>
    <mergeCell ref="N536:N537"/>
    <mergeCell ref="M534:M535"/>
    <mergeCell ref="O536:O537"/>
    <mergeCell ref="P536:P537"/>
    <mergeCell ref="Q536:Q537"/>
    <mergeCell ref="R536:R537"/>
    <mergeCell ref="S536:S537"/>
    <mergeCell ref="D536:D537"/>
    <mergeCell ref="E536:E537"/>
    <mergeCell ref="F536:F537"/>
    <mergeCell ref="G536:G537"/>
    <mergeCell ref="H536:H537"/>
    <mergeCell ref="I536:I537"/>
    <mergeCell ref="J536:J537"/>
    <mergeCell ref="AF536:AF537"/>
    <mergeCell ref="AE536:AE537"/>
    <mergeCell ref="AA511:AA512"/>
    <mergeCell ref="AA513:AA514"/>
    <mergeCell ref="AA518:AA521"/>
    <mergeCell ref="AA522:AA523"/>
    <mergeCell ref="AA525:AA526"/>
    <mergeCell ref="AA491:AA494"/>
    <mergeCell ref="AA495:AA498"/>
    <mergeCell ref="AA499:AA502"/>
    <mergeCell ref="AA503:AA506"/>
    <mergeCell ref="AA507:AA510"/>
    <mergeCell ref="AF507:AF510"/>
    <mergeCell ref="AF474:AF476"/>
    <mergeCell ref="AF477:AF478"/>
    <mergeCell ref="AF479:AF482"/>
    <mergeCell ref="AF483:AF486"/>
    <mergeCell ref="AF487:AF490"/>
    <mergeCell ref="AA528:AA529"/>
    <mergeCell ref="AA532:AA533"/>
    <mergeCell ref="AA534:AA535"/>
    <mergeCell ref="AF511:AF512"/>
    <mergeCell ref="AF513:AF514"/>
    <mergeCell ref="AF518:AF521"/>
    <mergeCell ref="AF522:AF523"/>
    <mergeCell ref="AF525:AF526"/>
    <mergeCell ref="AF528:AF529"/>
    <mergeCell ref="AF532:AF533"/>
    <mergeCell ref="AF534:AF535"/>
    <mergeCell ref="AA474:AA476"/>
    <mergeCell ref="AA477:AA478"/>
    <mergeCell ref="AA479:AA482"/>
    <mergeCell ref="AA483:AA486"/>
    <mergeCell ref="AA487:AA490"/>
    <mergeCell ref="AF491:AF494"/>
    <mergeCell ref="AF495:AF498"/>
    <mergeCell ref="AF499:AF502"/>
    <mergeCell ref="AF503:AF506"/>
    <mergeCell ref="X499:X502"/>
    <mergeCell ref="X491:X494"/>
    <mergeCell ref="Z487:Z490"/>
    <mergeCell ref="U491:U494"/>
    <mergeCell ref="X487:X490"/>
    <mergeCell ref="Y491:Y494"/>
    <mergeCell ref="Z491:Z494"/>
    <mergeCell ref="U487:U490"/>
    <mergeCell ref="X479:X482"/>
    <mergeCell ref="Y483:Y486"/>
    <mergeCell ref="Z483:Z486"/>
    <mergeCell ref="AF370:AF371"/>
    <mergeCell ref="Q363:Q364"/>
    <mergeCell ref="R363:R364"/>
    <mergeCell ref="S363:S364"/>
    <mergeCell ref="T363:T364"/>
    <mergeCell ref="U363:U364"/>
    <mergeCell ref="V363:V364"/>
    <mergeCell ref="W363:W364"/>
    <mergeCell ref="X363:X364"/>
    <mergeCell ref="Y363:Y364"/>
    <mergeCell ref="Z363:Z364"/>
    <mergeCell ref="AA363:AA364"/>
    <mergeCell ref="AF363:AF364"/>
    <mergeCell ref="V370:V371"/>
    <mergeCell ref="Q370:Q371"/>
    <mergeCell ref="Q396:Q397"/>
    <mergeCell ref="Q398:Q399"/>
    <mergeCell ref="AB3:AB4"/>
    <mergeCell ref="AC3:AC4"/>
    <mergeCell ref="AB5:AB6"/>
    <mergeCell ref="AC5:AC6"/>
    <mergeCell ref="AB8:AB9"/>
    <mergeCell ref="AC8:AC9"/>
    <mergeCell ref="X370:X371"/>
    <mergeCell ref="Y370:Y371"/>
    <mergeCell ref="Z370:Z371"/>
    <mergeCell ref="AB370:AB371"/>
    <mergeCell ref="AB42:AB43"/>
    <mergeCell ref="AB44:AB45"/>
    <mergeCell ref="AC39:AC41"/>
    <mergeCell ref="AC42:AC43"/>
    <mergeCell ref="AC44:AC45"/>
    <mergeCell ref="AB39:AB41"/>
    <mergeCell ref="Q382:Q383"/>
    <mergeCell ref="S378:S379"/>
    <mergeCell ref="S382:S383"/>
    <mergeCell ref="U378:U379"/>
    <mergeCell ref="U382:U383"/>
    <mergeCell ref="W378:W379"/>
    <mergeCell ref="W382:W383"/>
    <mergeCell ref="AE528:AE529"/>
    <mergeCell ref="S396:S397"/>
    <mergeCell ref="S398:S399"/>
    <mergeCell ref="T378:T379"/>
    <mergeCell ref="T382:T383"/>
    <mergeCell ref="T396:T397"/>
    <mergeCell ref="T398:T399"/>
    <mergeCell ref="AE522:AE523"/>
    <mergeCell ref="AE525:AE526"/>
    <mergeCell ref="Z522:Z523"/>
    <mergeCell ref="Z518:Z521"/>
    <mergeCell ref="Y518:Y521"/>
    <mergeCell ref="X511:X512"/>
    <mergeCell ref="Y511:Y512"/>
    <mergeCell ref="Z511:Z512"/>
    <mergeCell ref="U479:U482"/>
    <mergeCell ref="X477:X478"/>
    <mergeCell ref="AE532:AE533"/>
    <mergeCell ref="AE534:AE535"/>
    <mergeCell ref="Y378:Y379"/>
    <mergeCell ref="Y382:Y383"/>
    <mergeCell ref="Y534:Y535"/>
    <mergeCell ref="Z534:Z535"/>
    <mergeCell ref="X534:X535"/>
    <mergeCell ref="S534:S535"/>
    <mergeCell ref="T534:T535"/>
    <mergeCell ref="U534:U535"/>
    <mergeCell ref="X532:X533"/>
    <mergeCell ref="Y532:Y533"/>
    <mergeCell ref="Z532:Z533"/>
    <mergeCell ref="Z528:Z529"/>
    <mergeCell ref="Y528:Y529"/>
    <mergeCell ref="X522:X523"/>
    <mergeCell ref="Y522:Y523"/>
    <mergeCell ref="AE518:AE521"/>
    <mergeCell ref="U396:U397"/>
    <mergeCell ref="U398:U399"/>
    <mergeCell ref="V378:V379"/>
    <mergeCell ref="V382:V383"/>
    <mergeCell ref="V396:V397"/>
    <mergeCell ref="V398:V399"/>
    <mergeCell ref="U477:U478"/>
    <mergeCell ref="X474:X476"/>
    <mergeCell ref="Y477:Y478"/>
    <mergeCell ref="Z477:Z478"/>
    <mergeCell ref="AE507:AE510"/>
    <mergeCell ref="W396:W397"/>
    <mergeCell ref="W398:W399"/>
    <mergeCell ref="AD474:AD476"/>
    <mergeCell ref="AD477:AD478"/>
    <mergeCell ref="AD479:AD482"/>
    <mergeCell ref="AD483:AD486"/>
    <mergeCell ref="AD487:AD490"/>
    <mergeCell ref="AD491:AD494"/>
    <mergeCell ref="AD495:AD498"/>
    <mergeCell ref="AD499:AD502"/>
    <mergeCell ref="AD503:AD506"/>
    <mergeCell ref="AD507:AD510"/>
    <mergeCell ref="AB507:AB510"/>
    <mergeCell ref="AB474:AB476"/>
    <mergeCell ref="AC474:AC476"/>
    <mergeCell ref="X483:X486"/>
    <mergeCell ref="Y487:Y490"/>
    <mergeCell ref="Z479:Z482"/>
    <mergeCell ref="U483:U486"/>
    <mergeCell ref="X396:X397"/>
    <mergeCell ref="X398:X399"/>
    <mergeCell ref="AE511:AE512"/>
    <mergeCell ref="AE513:AE514"/>
    <mergeCell ref="AE495:AE498"/>
    <mergeCell ref="Y396:Y397"/>
    <mergeCell ref="Y398:Y399"/>
    <mergeCell ref="Z378:Z379"/>
    <mergeCell ref="Z382:Z383"/>
    <mergeCell ref="Z396:Z397"/>
    <mergeCell ref="Z398:Z399"/>
    <mergeCell ref="AE499:AE502"/>
    <mergeCell ref="AE503:AE506"/>
    <mergeCell ref="AE483:AE486"/>
    <mergeCell ref="AE487:AE490"/>
    <mergeCell ref="AE491:AE494"/>
    <mergeCell ref="AA378:AA379"/>
    <mergeCell ref="AA382:AA383"/>
    <mergeCell ref="AA396:AA397"/>
    <mergeCell ref="AA398:AA399"/>
    <mergeCell ref="AE477:AE478"/>
    <mergeCell ref="AE479:AE482"/>
    <mergeCell ref="Y479:Y482"/>
    <mergeCell ref="Z474:Z476"/>
    <mergeCell ref="AF396:AF397"/>
    <mergeCell ref="AF398:AF399"/>
    <mergeCell ref="AE474:AE476"/>
    <mergeCell ref="P23:P24"/>
    <mergeCell ref="Q23:Q24"/>
    <mergeCell ref="P28:P29"/>
    <mergeCell ref="Q28:Q29"/>
    <mergeCell ref="R28:R29"/>
    <mergeCell ref="AE396:AE397"/>
    <mergeCell ref="P35:P38"/>
    <mergeCell ref="Q35:Q38"/>
    <mergeCell ref="P39:P41"/>
    <mergeCell ref="Q39:Q41"/>
    <mergeCell ref="AE398:AE399"/>
    <mergeCell ref="P30:P31"/>
    <mergeCell ref="Q30:Q31"/>
    <mergeCell ref="R30:R31"/>
    <mergeCell ref="P32:P34"/>
    <mergeCell ref="Q32:Q34"/>
    <mergeCell ref="AE370:AE371"/>
    <mergeCell ref="AE378:AE379"/>
    <mergeCell ref="AE382:AE383"/>
    <mergeCell ref="X378:X379"/>
    <mergeCell ref="X382:X383"/>
    <mergeCell ref="N140:N141"/>
    <mergeCell ref="N144:N145"/>
    <mergeCell ref="R370:R371"/>
    <mergeCell ref="S370:S371"/>
    <mergeCell ref="T370:T371"/>
    <mergeCell ref="U370:U371"/>
    <mergeCell ref="W370:W371"/>
    <mergeCell ref="AA370:AA371"/>
    <mergeCell ref="X361:X362"/>
    <mergeCell ref="Y361:Y362"/>
    <mergeCell ref="Z361:Z362"/>
    <mergeCell ref="AA361:AA362"/>
    <mergeCell ref="S361:S362"/>
    <mergeCell ref="T361:T362"/>
    <mergeCell ref="U361:U362"/>
    <mergeCell ref="V361:V362"/>
    <mergeCell ref="W361:W362"/>
    <mergeCell ref="Q42:Q43"/>
    <mergeCell ref="R42:R43"/>
    <mergeCell ref="P44:P45"/>
    <mergeCell ref="Q44:Q45"/>
    <mergeCell ref="R44:R45"/>
    <mergeCell ref="L23:L24"/>
    <mergeCell ref="M23:M24"/>
    <mergeCell ref="N23:N24"/>
    <mergeCell ref="M39:M41"/>
    <mergeCell ref="N39:N41"/>
    <mergeCell ref="L52:L54"/>
    <mergeCell ref="M52:M54"/>
    <mergeCell ref="N52:N54"/>
    <mergeCell ref="L55:L56"/>
    <mergeCell ref="M55:M56"/>
    <mergeCell ref="N55:N56"/>
    <mergeCell ref="K28:K29"/>
    <mergeCell ref="L28:L29"/>
    <mergeCell ref="M28:M29"/>
    <mergeCell ref="N28:N29"/>
    <mergeCell ref="K30:K31"/>
    <mergeCell ref="L30:L31"/>
    <mergeCell ref="M30:M31"/>
    <mergeCell ref="N30:N31"/>
    <mergeCell ref="K32:K33"/>
    <mergeCell ref="L32:L34"/>
    <mergeCell ref="M32:M34"/>
    <mergeCell ref="N32:N34"/>
    <mergeCell ref="K35:K37"/>
    <mergeCell ref="L35:L38"/>
    <mergeCell ref="M35:M38"/>
    <mergeCell ref="N35:N38"/>
    <mergeCell ref="K39:K40"/>
    <mergeCell ref="L39:L41"/>
    <mergeCell ref="P55:P56"/>
    <mergeCell ref="Q55:Q56"/>
    <mergeCell ref="R32:R33"/>
    <mergeCell ref="R39:R40"/>
    <mergeCell ref="P50:P51"/>
    <mergeCell ref="Q50:Q51"/>
    <mergeCell ref="P52:P54"/>
    <mergeCell ref="Q52:Q54"/>
    <mergeCell ref="AE361:AE362"/>
    <mergeCell ref="S32:S33"/>
    <mergeCell ref="T32:T33"/>
    <mergeCell ref="U32:U33"/>
    <mergeCell ref="R35:R37"/>
    <mergeCell ref="S35:S37"/>
    <mergeCell ref="T35:T37"/>
    <mergeCell ref="U35:U37"/>
    <mergeCell ref="S39:S40"/>
    <mergeCell ref="T39:T40"/>
    <mergeCell ref="U39:U40"/>
    <mergeCell ref="X44:X45"/>
    <mergeCell ref="Y39:Y40"/>
    <mergeCell ref="AD50:AD51"/>
    <mergeCell ref="AD52:AD54"/>
    <mergeCell ref="P42:P43"/>
    <mergeCell ref="K42:K43"/>
    <mergeCell ref="L42:L43"/>
    <mergeCell ref="M42:M43"/>
    <mergeCell ref="N42:N43"/>
    <mergeCell ref="AE55:AE56"/>
    <mergeCell ref="K44:K45"/>
    <mergeCell ref="L44:L45"/>
    <mergeCell ref="M44:M45"/>
    <mergeCell ref="N44:N45"/>
    <mergeCell ref="L50:L51"/>
    <mergeCell ref="M50:M51"/>
    <mergeCell ref="N50:N51"/>
    <mergeCell ref="AE50:AE51"/>
    <mergeCell ref="AE52:AE54"/>
    <mergeCell ref="S42:S43"/>
    <mergeCell ref="T42:T43"/>
    <mergeCell ref="U42:U43"/>
    <mergeCell ref="S44:S45"/>
    <mergeCell ref="T44:T45"/>
    <mergeCell ref="U44:U45"/>
    <mergeCell ref="R52:R53"/>
    <mergeCell ref="S52:S53"/>
    <mergeCell ref="T52:T53"/>
    <mergeCell ref="U52:U53"/>
    <mergeCell ref="S28:S29"/>
    <mergeCell ref="T28:T29"/>
    <mergeCell ref="U28:U29"/>
    <mergeCell ref="S30:S31"/>
    <mergeCell ref="T30:T31"/>
    <mergeCell ref="U30:U31"/>
    <mergeCell ref="X28:X29"/>
    <mergeCell ref="X30:X31"/>
    <mergeCell ref="Z23:Z24"/>
    <mergeCell ref="Z28:Z29"/>
    <mergeCell ref="Z30:Z31"/>
    <mergeCell ref="Y28:Y29"/>
    <mergeCell ref="Y30:Y31"/>
    <mergeCell ref="AD532:AD533"/>
    <mergeCell ref="AD534:AD535"/>
    <mergeCell ref="AD536:AD537"/>
    <mergeCell ref="AA536:AA537"/>
    <mergeCell ref="Z536:Z537"/>
    <mergeCell ref="X536:X537"/>
    <mergeCell ref="Y536:Y537"/>
    <mergeCell ref="T536:T537"/>
    <mergeCell ref="U536:U537"/>
    <mergeCell ref="AC536:AC537"/>
    <mergeCell ref="AC534:AC535"/>
    <mergeCell ref="AD511:AD512"/>
    <mergeCell ref="AD513:AD514"/>
    <mergeCell ref="AD518:AD521"/>
    <mergeCell ref="AD522:AD523"/>
    <mergeCell ref="AD525:AD526"/>
    <mergeCell ref="AD528:AD529"/>
    <mergeCell ref="AB534:AB535"/>
    <mergeCell ref="AB536:AB537"/>
    <mergeCell ref="AC477:AC478"/>
    <mergeCell ref="AC479:AC482"/>
    <mergeCell ref="AC483:AC486"/>
    <mergeCell ref="AC487:AC490"/>
    <mergeCell ref="AC491:AC494"/>
    <mergeCell ref="AC495:AC498"/>
    <mergeCell ref="AC499:AC502"/>
    <mergeCell ref="AC503:AC506"/>
    <mergeCell ref="AC507:AC510"/>
    <mergeCell ref="AC511:AC512"/>
    <mergeCell ref="AC513:AC514"/>
    <mergeCell ref="AC518:AC521"/>
    <mergeCell ref="AC522:AC523"/>
    <mergeCell ref="AC525:AC526"/>
    <mergeCell ref="AC528:AC529"/>
    <mergeCell ref="AC532:AC533"/>
    <mergeCell ref="AB522:AB523"/>
    <mergeCell ref="AB525:AB526"/>
    <mergeCell ref="AB528:AB529"/>
    <mergeCell ref="AB532:AB533"/>
    <mergeCell ref="V42:V43"/>
    <mergeCell ref="V44:V45"/>
    <mergeCell ref="V52:V53"/>
    <mergeCell ref="W28:W29"/>
    <mergeCell ref="W30:W31"/>
    <mergeCell ref="W32:W33"/>
    <mergeCell ref="W35:W37"/>
    <mergeCell ref="W39:W40"/>
    <mergeCell ref="W42:W43"/>
    <mergeCell ref="W44:W45"/>
    <mergeCell ref="W52:W53"/>
    <mergeCell ref="V28:V29"/>
    <mergeCell ref="V30:V31"/>
    <mergeCell ref="V32:V33"/>
    <mergeCell ref="V35:V37"/>
    <mergeCell ref="V39:V40"/>
    <mergeCell ref="AB495:AB498"/>
    <mergeCell ref="AB499:AB502"/>
    <mergeCell ref="AB503:AB506"/>
    <mergeCell ref="X42:X43"/>
    <mergeCell ref="AB511:AB512"/>
    <mergeCell ref="AB513:AB514"/>
    <mergeCell ref="AB518:AB521"/>
    <mergeCell ref="AB477:AB478"/>
    <mergeCell ref="AB479:AB482"/>
    <mergeCell ref="AB483:AB486"/>
    <mergeCell ref="AB487:AB490"/>
    <mergeCell ref="X32:X33"/>
    <mergeCell ref="X35:X37"/>
    <mergeCell ref="X39:X40"/>
    <mergeCell ref="X52:X53"/>
    <mergeCell ref="AB491:AB494"/>
    <mergeCell ref="Y42:Y43"/>
    <mergeCell ref="Y44:Y45"/>
    <mergeCell ref="Y52:Y53"/>
    <mergeCell ref="Z32:Z34"/>
    <mergeCell ref="Z35:Z38"/>
    <mergeCell ref="Z39:Z41"/>
    <mergeCell ref="Z42:Z43"/>
    <mergeCell ref="Z44:Z45"/>
    <mergeCell ref="Z50:Z51"/>
    <mergeCell ref="Z52:Z54"/>
    <mergeCell ref="Y32:Y33"/>
    <mergeCell ref="Y35:Y37"/>
    <mergeCell ref="AD396:AD397"/>
    <mergeCell ref="AD398:AD399"/>
    <mergeCell ref="Z55:Z56"/>
    <mergeCell ref="AA23:AA24"/>
    <mergeCell ref="AA28:AA29"/>
    <mergeCell ref="AA30:AA31"/>
    <mergeCell ref="AA32:AA34"/>
    <mergeCell ref="AA35:AA38"/>
    <mergeCell ref="AA39:AA41"/>
    <mergeCell ref="AA42:AA43"/>
    <mergeCell ref="AA44:AA45"/>
    <mergeCell ref="AA50:AA51"/>
    <mergeCell ref="AA52:AA54"/>
    <mergeCell ref="AA55:AA56"/>
    <mergeCell ref="AB382:AB383"/>
    <mergeCell ref="AB396:AB397"/>
    <mergeCell ref="AB398:AB399"/>
    <mergeCell ref="AC23:AC24"/>
    <mergeCell ref="AC382:AC383"/>
    <mergeCell ref="AC396:AC397"/>
    <mergeCell ref="AC398:AC399"/>
    <mergeCell ref="AB30:AB31"/>
    <mergeCell ref="AC28:AC29"/>
    <mergeCell ref="AC30:AC31"/>
    <mergeCell ref="AB363:AB364"/>
    <mergeCell ref="AF32:AF33"/>
    <mergeCell ref="AF35:AF37"/>
    <mergeCell ref="AF39:AF40"/>
    <mergeCell ref="AF52:AF53"/>
    <mergeCell ref="AB28:AB29"/>
    <mergeCell ref="AD370:AD371"/>
    <mergeCell ref="AD378:AD379"/>
    <mergeCell ref="AD382:AD383"/>
    <mergeCell ref="AE28:AE29"/>
    <mergeCell ref="AE30:AE31"/>
    <mergeCell ref="AE32:AE34"/>
    <mergeCell ref="AE35:AE38"/>
    <mergeCell ref="AC32:AC34"/>
    <mergeCell ref="AC35:AC38"/>
    <mergeCell ref="AE363:AE364"/>
    <mergeCell ref="AF378:AF379"/>
    <mergeCell ref="AF382:AF383"/>
    <mergeCell ref="AB23:AB24"/>
    <mergeCell ref="AF28:AF29"/>
    <mergeCell ref="AF30:AF31"/>
    <mergeCell ref="AB32:AB34"/>
    <mergeCell ref="AB35:AB38"/>
    <mergeCell ref="AD23:AD24"/>
    <mergeCell ref="AD28:AD29"/>
    <mergeCell ref="AD30:AD31"/>
    <mergeCell ref="AD32:AD34"/>
    <mergeCell ref="AD35:AD38"/>
    <mergeCell ref="AE23:AE24"/>
    <mergeCell ref="AF42:AF43"/>
    <mergeCell ref="AF44:AF45"/>
    <mergeCell ref="AB50:AB51"/>
    <mergeCell ref="AB52:AB54"/>
    <mergeCell ref="AD39:AD41"/>
    <mergeCell ref="AD42:AD43"/>
    <mergeCell ref="AD44:AD45"/>
    <mergeCell ref="AB378:AB379"/>
    <mergeCell ref="AC50:AC51"/>
    <mergeCell ref="AC52:AC54"/>
    <mergeCell ref="AC55:AC56"/>
    <mergeCell ref="AC361:AC362"/>
    <mergeCell ref="AC363:AC364"/>
    <mergeCell ref="AC370:AC371"/>
    <mergeCell ref="AC378:AC379"/>
    <mergeCell ref="AB55:AB56"/>
    <mergeCell ref="AD55:AD56"/>
    <mergeCell ref="AD361:AD362"/>
    <mergeCell ref="AD363:AD364"/>
    <mergeCell ref="AE39:AE41"/>
    <mergeCell ref="AE42:AE43"/>
    <mergeCell ref="AE44:AE45"/>
    <mergeCell ref="AF361:AF362"/>
    <mergeCell ref="AB361:AB362"/>
  </mergeCells>
  <pageMargins left="0.70866141732283472" right="0.70866141732283472" top="0.74803149606299213" bottom="0.74803149606299213" header="0.31496062992125984" footer="0.31496062992125984"/>
  <pageSetup paperSize="9" orientation="landscape"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2</vt:i4>
      </vt:variant>
    </vt:vector>
  </HeadingPairs>
  <TitlesOfParts>
    <vt:vector size="4" baseType="lpstr">
      <vt:lpstr>Alapra terhelt költségek (2)</vt:lpstr>
      <vt:lpstr>TER_2013</vt:lpstr>
      <vt:lpstr>'Alapra terhelt költségek (2)'!Nyomtatási_terület</vt:lpstr>
      <vt:lpstr>TER_2013!Nyomtatási_terület</vt:lpstr>
    </vt:vector>
  </TitlesOfParts>
  <Company>Pénzügyi Szervezetek Állami Felügyelete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Rosta József</dc:creator>
  <cp:lastModifiedBy>Rosta József</cp:lastModifiedBy>
  <cp:lastPrinted>2014-09-12T08:18:42Z</cp:lastPrinted>
  <dcterms:created xsi:type="dcterms:W3CDTF">2008-04-08T07:20:58Z</dcterms:created>
  <dcterms:modified xsi:type="dcterms:W3CDTF">2014-09-26T08:21:02Z</dcterms:modified>
</cp:coreProperties>
</file>